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drawings/drawing4.xml" ContentType="application/vnd.openxmlformats-officedocument.drawing+xml"/>
  <Override PartName="/xl/ctrlProps/ctrlProp2.xml" ContentType="application/vnd.ms-excel.controlpropertie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d.docs.live.net/1fa6dfb41e6ec2b4/TCT/"/>
    </mc:Choice>
  </mc:AlternateContent>
  <xr:revisionPtr revIDLastSave="494" documentId="8_{5A54F3E1-397C-4D05-A8D1-31FF990B90E0}" xr6:coauthVersionLast="47" xr6:coauthVersionMax="47" xr10:uidLastSave="{FD651BE3-5FE2-4177-8620-7FFA8082A64E}"/>
  <bookViews>
    <workbookView xWindow="-108" yWindow="-108" windowWidth="30936" windowHeight="12576" tabRatio="712" firstSheet="1" activeTab="1" xr2:uid="{00000000-000D-0000-FFFF-FFFF00000000}"/>
  </bookViews>
  <sheets>
    <sheet name="Chart2" sheetId="5" state="hidden" r:id="rId1"/>
    <sheet name="Analysis Worksheet" sheetId="1" r:id="rId2"/>
    <sheet name="ROI Analysis" sheetId="3" r:id="rId3"/>
    <sheet name="Loan Amortization" sheetId="6" r:id="rId4"/>
    <sheet name="Loan Amortization 2nd Loan" sheetId="9" r:id="rId5"/>
    <sheet name="Interest Calculations" sheetId="2" r:id="rId6"/>
  </sheets>
  <definedNames>
    <definedName name="BalanceRange" localSheetId="3">'Loan Amortization'!$G$14:OFFSET('Loan Amortization'!$G$14,'Loan Amortization'!$B$3*'Loan Amortization'!$B$5,0)</definedName>
    <definedName name="BalanceRange" localSheetId="4">'Loan Amortization 2nd Loan'!$G$14:OFFSET('Loan Amortization 2nd Loan'!$G$14,'Loan Amortization 2nd Loan'!$B$3*'Loan Amortization 2nd Loan'!$B$5,0)</definedName>
    <definedName name="_xlnm.Print_Area" localSheetId="1">'Analysis Worksheet'!$A$1:$H$79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5" i="1" l="1"/>
  <c r="H75" i="1"/>
  <c r="F8" i="1" l="1"/>
  <c r="L27" i="1" s="1"/>
  <c r="K27" i="1" s="1"/>
  <c r="F13" i="1"/>
  <c r="S34" i="3"/>
  <c r="B5" i="9"/>
  <c r="B4" i="9"/>
  <c r="B3" i="9"/>
  <c r="B2" i="9"/>
  <c r="AD19" i="1"/>
  <c r="AD20" i="1"/>
  <c r="AD21" i="1"/>
  <c r="AD22" i="1"/>
  <c r="AD23" i="1"/>
  <c r="AD18" i="1"/>
  <c r="AH8" i="1"/>
  <c r="AH10" i="1" s="1"/>
  <c r="AH12" i="1"/>
  <c r="AH14" i="1"/>
  <c r="AH29" i="1"/>
  <c r="AI29" i="1" s="1"/>
  <c r="AH30" i="1"/>
  <c r="AH31" i="1"/>
  <c r="AE34" i="1"/>
  <c r="AH41" i="1"/>
  <c r="AI42" i="1"/>
  <c r="AI43" i="1"/>
  <c r="AH44" i="1"/>
  <c r="I374" i="9"/>
  <c r="I362" i="9"/>
  <c r="I350" i="9"/>
  <c r="I338" i="9"/>
  <c r="I326" i="9"/>
  <c r="I314" i="9"/>
  <c r="I302" i="9"/>
  <c r="I290" i="9"/>
  <c r="I278" i="9"/>
  <c r="I266" i="9"/>
  <c r="I254" i="9"/>
  <c r="I242" i="9"/>
  <c r="I230" i="9"/>
  <c r="I218" i="9"/>
  <c r="I206" i="9"/>
  <c r="H135" i="9"/>
  <c r="H111" i="9"/>
  <c r="H99" i="9"/>
  <c r="H75" i="9"/>
  <c r="H87" i="9" s="1"/>
  <c r="B7" i="9"/>
  <c r="H2" i="9" l="1"/>
  <c r="H3" i="9"/>
  <c r="E5" i="9"/>
  <c r="AH11" i="1"/>
  <c r="AH25" i="1" s="1"/>
  <c r="AI25" i="1" s="1"/>
  <c r="AI57" i="1" s="1"/>
  <c r="F42" i="1"/>
  <c r="AH42" i="1" s="1"/>
  <c r="B7" i="6"/>
  <c r="I374" i="6"/>
  <c r="I362" i="6"/>
  <c r="I350" i="6"/>
  <c r="I338" i="6"/>
  <c r="I326" i="6"/>
  <c r="I314" i="6"/>
  <c r="I302" i="6"/>
  <c r="I290" i="6"/>
  <c r="I278" i="6"/>
  <c r="I266" i="6"/>
  <c r="I254" i="6"/>
  <c r="I242" i="6"/>
  <c r="I206" i="6"/>
  <c r="I230" i="6"/>
  <c r="I218" i="6"/>
  <c r="B4" i="6"/>
  <c r="AH28" i="1"/>
  <c r="H75" i="6"/>
  <c r="H87" i="6"/>
  <c r="H99" i="6"/>
  <c r="H111" i="6"/>
  <c r="H135" i="6"/>
  <c r="G41" i="1"/>
  <c r="AI41" i="1" s="1"/>
  <c r="G44" i="1"/>
  <c r="AI44" i="1" s="1"/>
  <c r="L4" i="3"/>
  <c r="F43" i="1"/>
  <c r="AH43" i="1" s="1"/>
  <c r="G29" i="1"/>
  <c r="M34" i="3"/>
  <c r="M33" i="3"/>
  <c r="M32" i="3"/>
  <c r="M31" i="3"/>
  <c r="M30" i="3"/>
  <c r="M29" i="3"/>
  <c r="M28" i="3"/>
  <c r="M27" i="3"/>
  <c r="M26" i="3"/>
  <c r="M25" i="3"/>
  <c r="M24" i="3"/>
  <c r="M23" i="3"/>
  <c r="M22" i="3"/>
  <c r="M21" i="3"/>
  <c r="M20" i="3"/>
  <c r="M19" i="3"/>
  <c r="M18" i="3"/>
  <c r="M17" i="3"/>
  <c r="M16" i="3"/>
  <c r="M15" i="3"/>
  <c r="M14" i="3"/>
  <c r="M13" i="3"/>
  <c r="M12" i="3"/>
  <c r="M11" i="3"/>
  <c r="M10" i="3"/>
  <c r="M9" i="3"/>
  <c r="M8" i="3"/>
  <c r="M7" i="3"/>
  <c r="M6" i="3"/>
  <c r="M5" i="3"/>
  <c r="F34" i="3"/>
  <c r="F33" i="3"/>
  <c r="F32" i="3"/>
  <c r="F31" i="3"/>
  <c r="F30" i="3"/>
  <c r="F29" i="3"/>
  <c r="F28" i="3"/>
  <c r="F27" i="3"/>
  <c r="F26" i="3"/>
  <c r="F25" i="3"/>
  <c r="F24" i="3"/>
  <c r="F23" i="3"/>
  <c r="F22" i="3"/>
  <c r="F21" i="3"/>
  <c r="F20" i="3"/>
  <c r="F19" i="3"/>
  <c r="F18" i="3"/>
  <c r="F17" i="3"/>
  <c r="F16" i="3"/>
  <c r="F15" i="3"/>
  <c r="F14" i="3"/>
  <c r="F13" i="3"/>
  <c r="F12" i="3"/>
  <c r="F11" i="3"/>
  <c r="F10" i="3"/>
  <c r="F9" i="3"/>
  <c r="F8" i="3"/>
  <c r="F7" i="3"/>
  <c r="F6" i="3"/>
  <c r="F5" i="3"/>
  <c r="B34" i="3"/>
  <c r="B33" i="3"/>
  <c r="B32" i="3"/>
  <c r="B31" i="3"/>
  <c r="B30" i="3"/>
  <c r="B29" i="3"/>
  <c r="B28" i="3"/>
  <c r="B27" i="3"/>
  <c r="B26" i="3"/>
  <c r="B25" i="3"/>
  <c r="B24" i="3"/>
  <c r="B23" i="3"/>
  <c r="B22" i="3"/>
  <c r="B21" i="3"/>
  <c r="B20" i="3"/>
  <c r="B19" i="3"/>
  <c r="B18" i="3"/>
  <c r="B17" i="3"/>
  <c r="B16" i="3"/>
  <c r="B15" i="3"/>
  <c r="B14" i="3"/>
  <c r="B13" i="3"/>
  <c r="B12" i="3"/>
  <c r="B11" i="3"/>
  <c r="B10" i="3"/>
  <c r="B9" i="3"/>
  <c r="B8" i="3"/>
  <c r="B7" i="3"/>
  <c r="B6" i="3"/>
  <c r="B5" i="3"/>
  <c r="D34" i="3"/>
  <c r="D33" i="3"/>
  <c r="D32" i="3"/>
  <c r="D31" i="3"/>
  <c r="D30" i="3"/>
  <c r="D29" i="3"/>
  <c r="D28" i="3"/>
  <c r="D27" i="3"/>
  <c r="D26" i="3"/>
  <c r="D25" i="3"/>
  <c r="D24" i="3"/>
  <c r="D23" i="3"/>
  <c r="D22" i="3"/>
  <c r="D21" i="3"/>
  <c r="D20" i="3"/>
  <c r="D19" i="3"/>
  <c r="D18" i="3"/>
  <c r="D17" i="3"/>
  <c r="D16" i="3"/>
  <c r="D15" i="3"/>
  <c r="D14" i="3"/>
  <c r="D13" i="3"/>
  <c r="D12" i="3"/>
  <c r="D11" i="3"/>
  <c r="D10" i="3"/>
  <c r="D9" i="3"/>
  <c r="D8" i="3"/>
  <c r="D7" i="3"/>
  <c r="D4" i="3"/>
  <c r="D6" i="3"/>
  <c r="D5" i="3"/>
  <c r="B4" i="3"/>
  <c r="F4" i="3"/>
  <c r="M4" i="3"/>
  <c r="C2" i="2"/>
  <c r="C3" i="2"/>
  <c r="I34" i="3"/>
  <c r="H364" i="2"/>
  <c r="H363" i="2"/>
  <c r="H362" i="2"/>
  <c r="H361" i="2"/>
  <c r="H360" i="2"/>
  <c r="H359" i="2"/>
  <c r="H358" i="2"/>
  <c r="H357" i="2"/>
  <c r="H356" i="2"/>
  <c r="H355" i="2"/>
  <c r="H354" i="2"/>
  <c r="H353" i="2"/>
  <c r="H352" i="2"/>
  <c r="H351" i="2"/>
  <c r="H350" i="2"/>
  <c r="H349" i="2"/>
  <c r="H348" i="2"/>
  <c r="H347" i="2"/>
  <c r="H346" i="2"/>
  <c r="H345" i="2"/>
  <c r="H344" i="2"/>
  <c r="H343" i="2"/>
  <c r="H342" i="2"/>
  <c r="H341" i="2"/>
  <c r="H340" i="2"/>
  <c r="H339" i="2"/>
  <c r="H338" i="2"/>
  <c r="H337" i="2"/>
  <c r="H336" i="2"/>
  <c r="H335" i="2"/>
  <c r="H334" i="2"/>
  <c r="H333" i="2"/>
  <c r="H332" i="2"/>
  <c r="H331" i="2"/>
  <c r="H330" i="2"/>
  <c r="H329" i="2"/>
  <c r="H328" i="2"/>
  <c r="H327" i="2"/>
  <c r="H326" i="2"/>
  <c r="H325" i="2"/>
  <c r="H324" i="2"/>
  <c r="H323" i="2"/>
  <c r="H322" i="2"/>
  <c r="H321" i="2"/>
  <c r="H320" i="2"/>
  <c r="H319" i="2"/>
  <c r="H318" i="2"/>
  <c r="H317" i="2"/>
  <c r="H316" i="2"/>
  <c r="H315" i="2"/>
  <c r="H314" i="2"/>
  <c r="H313" i="2"/>
  <c r="H312" i="2"/>
  <c r="H311" i="2"/>
  <c r="H310" i="2"/>
  <c r="H309" i="2"/>
  <c r="H308" i="2"/>
  <c r="H307" i="2"/>
  <c r="H306" i="2"/>
  <c r="H305" i="2"/>
  <c r="H304" i="2"/>
  <c r="H303" i="2"/>
  <c r="H302" i="2"/>
  <c r="H301" i="2"/>
  <c r="H300" i="2"/>
  <c r="H299" i="2"/>
  <c r="H298" i="2"/>
  <c r="H297" i="2"/>
  <c r="H296" i="2"/>
  <c r="H295" i="2"/>
  <c r="H294" i="2"/>
  <c r="H293" i="2"/>
  <c r="H292" i="2"/>
  <c r="H291" i="2"/>
  <c r="H290" i="2"/>
  <c r="H289" i="2"/>
  <c r="H288" i="2"/>
  <c r="H287" i="2"/>
  <c r="H286" i="2"/>
  <c r="H285" i="2"/>
  <c r="H284" i="2"/>
  <c r="H283" i="2"/>
  <c r="H282" i="2"/>
  <c r="H281" i="2"/>
  <c r="H280" i="2"/>
  <c r="H279" i="2"/>
  <c r="H278" i="2"/>
  <c r="H277" i="2"/>
  <c r="H276" i="2"/>
  <c r="H275" i="2"/>
  <c r="H274" i="2"/>
  <c r="H273" i="2"/>
  <c r="H272" i="2"/>
  <c r="H271" i="2"/>
  <c r="H270" i="2"/>
  <c r="H269" i="2"/>
  <c r="H268" i="2"/>
  <c r="H267" i="2"/>
  <c r="H266" i="2"/>
  <c r="H265" i="2"/>
  <c r="H264" i="2"/>
  <c r="H263" i="2"/>
  <c r="H262" i="2"/>
  <c r="H261" i="2"/>
  <c r="H260" i="2"/>
  <c r="H259" i="2"/>
  <c r="H258" i="2"/>
  <c r="H257" i="2"/>
  <c r="H256" i="2"/>
  <c r="H255" i="2"/>
  <c r="H254" i="2"/>
  <c r="H253" i="2"/>
  <c r="H252" i="2"/>
  <c r="H251" i="2"/>
  <c r="H250" i="2"/>
  <c r="H249" i="2"/>
  <c r="H248" i="2"/>
  <c r="H247" i="2"/>
  <c r="H246" i="2"/>
  <c r="H245" i="2"/>
  <c r="H244" i="2"/>
  <c r="H243" i="2"/>
  <c r="H242" i="2"/>
  <c r="H241" i="2"/>
  <c r="H240" i="2"/>
  <c r="H239" i="2"/>
  <c r="H238" i="2"/>
  <c r="H237" i="2"/>
  <c r="H236" i="2"/>
  <c r="H235" i="2"/>
  <c r="H234" i="2"/>
  <c r="H233" i="2"/>
  <c r="H232" i="2"/>
  <c r="H231" i="2"/>
  <c r="H230" i="2"/>
  <c r="H229" i="2"/>
  <c r="H228" i="2"/>
  <c r="H227" i="2"/>
  <c r="H226" i="2"/>
  <c r="H225" i="2"/>
  <c r="H224" i="2"/>
  <c r="H223" i="2"/>
  <c r="H222" i="2"/>
  <c r="H221" i="2"/>
  <c r="H220" i="2"/>
  <c r="H219" i="2"/>
  <c r="H218" i="2"/>
  <c r="H217" i="2"/>
  <c r="H216" i="2"/>
  <c r="H215" i="2"/>
  <c r="H214" i="2"/>
  <c r="H213" i="2"/>
  <c r="H212" i="2"/>
  <c r="H211" i="2"/>
  <c r="H210" i="2"/>
  <c r="H209" i="2"/>
  <c r="H208" i="2"/>
  <c r="H207" i="2"/>
  <c r="H206" i="2"/>
  <c r="H205" i="2"/>
  <c r="H204" i="2"/>
  <c r="H203" i="2"/>
  <c r="H202" i="2"/>
  <c r="H201" i="2"/>
  <c r="H200" i="2"/>
  <c r="H199" i="2"/>
  <c r="H198" i="2"/>
  <c r="H197" i="2"/>
  <c r="H196" i="2"/>
  <c r="H195" i="2"/>
  <c r="H194" i="2"/>
  <c r="H193" i="2"/>
  <c r="H192" i="2"/>
  <c r="H191" i="2"/>
  <c r="H190" i="2"/>
  <c r="H189" i="2"/>
  <c r="H188" i="2"/>
  <c r="H187" i="2"/>
  <c r="H186" i="2"/>
  <c r="H185" i="2"/>
  <c r="H184" i="2"/>
  <c r="H183" i="2"/>
  <c r="H182" i="2"/>
  <c r="H181" i="2"/>
  <c r="H180" i="2"/>
  <c r="H179" i="2"/>
  <c r="H178" i="2"/>
  <c r="H177" i="2"/>
  <c r="H176" i="2"/>
  <c r="H175" i="2"/>
  <c r="H174" i="2"/>
  <c r="H173" i="2"/>
  <c r="H172" i="2"/>
  <c r="H171" i="2"/>
  <c r="H170" i="2"/>
  <c r="H169" i="2"/>
  <c r="H168" i="2"/>
  <c r="H167" i="2"/>
  <c r="H166" i="2"/>
  <c r="H165" i="2"/>
  <c r="H164" i="2"/>
  <c r="H163" i="2"/>
  <c r="H162" i="2"/>
  <c r="H161" i="2"/>
  <c r="H160" i="2"/>
  <c r="H159" i="2"/>
  <c r="H158" i="2"/>
  <c r="H157" i="2"/>
  <c r="H156" i="2"/>
  <c r="H155" i="2"/>
  <c r="H154" i="2"/>
  <c r="H153" i="2"/>
  <c r="H152" i="2"/>
  <c r="H151" i="2"/>
  <c r="H150" i="2"/>
  <c r="H149" i="2"/>
  <c r="H148" i="2"/>
  <c r="H147" i="2"/>
  <c r="H146" i="2"/>
  <c r="H145" i="2"/>
  <c r="H144" i="2"/>
  <c r="H143" i="2"/>
  <c r="H142" i="2"/>
  <c r="H141" i="2"/>
  <c r="H140" i="2"/>
  <c r="H139" i="2"/>
  <c r="H138" i="2"/>
  <c r="H137" i="2"/>
  <c r="H136" i="2"/>
  <c r="H135" i="2"/>
  <c r="H134" i="2"/>
  <c r="H133" i="2"/>
  <c r="H132" i="2"/>
  <c r="H131" i="2"/>
  <c r="H130" i="2"/>
  <c r="H129" i="2"/>
  <c r="H128" i="2"/>
  <c r="H127" i="2"/>
  <c r="H126" i="2"/>
  <c r="H125" i="2"/>
  <c r="H124" i="2"/>
  <c r="H123" i="2"/>
  <c r="H122" i="2"/>
  <c r="H121" i="2"/>
  <c r="H120" i="2"/>
  <c r="H119" i="2"/>
  <c r="H118" i="2"/>
  <c r="H117" i="2"/>
  <c r="H116" i="2"/>
  <c r="H115" i="2"/>
  <c r="H114" i="2"/>
  <c r="H113" i="2"/>
  <c r="H112" i="2"/>
  <c r="H111" i="2"/>
  <c r="H110" i="2"/>
  <c r="H109" i="2"/>
  <c r="H108" i="2"/>
  <c r="H107" i="2"/>
  <c r="H106" i="2"/>
  <c r="H105" i="2"/>
  <c r="H104" i="2"/>
  <c r="H103" i="2"/>
  <c r="H102" i="2"/>
  <c r="H101" i="2"/>
  <c r="H100" i="2"/>
  <c r="H99" i="2"/>
  <c r="H98" i="2"/>
  <c r="H97" i="2"/>
  <c r="H96" i="2"/>
  <c r="H95" i="2"/>
  <c r="H94" i="2"/>
  <c r="H93" i="2"/>
  <c r="H92" i="2"/>
  <c r="H91" i="2"/>
  <c r="H90" i="2"/>
  <c r="H89" i="2"/>
  <c r="H88" i="2"/>
  <c r="H87" i="2"/>
  <c r="H86" i="2"/>
  <c r="H85" i="2"/>
  <c r="H84" i="2"/>
  <c r="H83" i="2"/>
  <c r="H82" i="2"/>
  <c r="H81" i="2"/>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2" i="2"/>
  <c r="H51" i="2"/>
  <c r="H50" i="2"/>
  <c r="H49" i="2"/>
  <c r="H48" i="2"/>
  <c r="H47" i="2"/>
  <c r="H46" i="2"/>
  <c r="H45" i="2"/>
  <c r="H44" i="2"/>
  <c r="H43" i="2"/>
  <c r="H42" i="2"/>
  <c r="H41" i="2"/>
  <c r="H40" i="2"/>
  <c r="H39" i="2"/>
  <c r="H38" i="2"/>
  <c r="H37" i="2"/>
  <c r="H36" i="2"/>
  <c r="H35" i="2"/>
  <c r="H34" i="2"/>
  <c r="H33" i="2"/>
  <c r="H32" i="2"/>
  <c r="H31" i="2"/>
  <c r="H30" i="2"/>
  <c r="H29" i="2"/>
  <c r="H28" i="2"/>
  <c r="H27" i="2"/>
  <c r="H26" i="2"/>
  <c r="H25" i="2"/>
  <c r="H24" i="2"/>
  <c r="H23" i="2"/>
  <c r="H22" i="2"/>
  <c r="H21" i="2"/>
  <c r="H20" i="2"/>
  <c r="H19" i="2"/>
  <c r="H18" i="2"/>
  <c r="H17" i="2"/>
  <c r="H16" i="2"/>
  <c r="H15" i="2"/>
  <c r="H14" i="2"/>
  <c r="H13" i="2"/>
  <c r="H12" i="2"/>
  <c r="H11" i="2"/>
  <c r="H10" i="2"/>
  <c r="H9" i="2"/>
  <c r="H8" i="2"/>
  <c r="H7" i="2"/>
  <c r="H6" i="2"/>
  <c r="H5" i="2"/>
  <c r="E5" i="6"/>
  <c r="AH13" i="1" l="1"/>
  <c r="AH15" i="1" s="1"/>
  <c r="AH57" i="1"/>
  <c r="AI28" i="1"/>
  <c r="AI33" i="1" s="1"/>
  <c r="AH33" i="1"/>
  <c r="F10" i="1"/>
  <c r="G28" i="1"/>
  <c r="G33" i="1" s="1"/>
  <c r="F33" i="1"/>
  <c r="N4" i="3"/>
  <c r="O4" i="3" l="1"/>
  <c r="L29" i="1"/>
  <c r="K29" i="1" s="1"/>
  <c r="F15" i="1"/>
  <c r="V28" i="3" s="1"/>
  <c r="AI34" i="1"/>
  <c r="AH34" i="1" s="1"/>
  <c r="AH35" i="1" s="1"/>
  <c r="AH50" i="1" s="1"/>
  <c r="F11" i="1"/>
  <c r="F38" i="1"/>
  <c r="AH38" i="1" s="1"/>
  <c r="F39" i="1"/>
  <c r="AH39" i="1" s="1"/>
  <c r="F40" i="1"/>
  <c r="AH40" i="1" s="1"/>
  <c r="G34" i="1"/>
  <c r="C4" i="3"/>
  <c r="P4" i="3"/>
  <c r="AI5" i="3" s="1"/>
  <c r="AI6" i="3" s="1"/>
  <c r="V16" i="3" l="1"/>
  <c r="V7" i="3"/>
  <c r="V13" i="3"/>
  <c r="V26" i="3"/>
  <c r="V30" i="3"/>
  <c r="V23" i="3"/>
  <c r="V6" i="3"/>
  <c r="V5" i="3"/>
  <c r="V12" i="3"/>
  <c r="V32" i="3"/>
  <c r="V18" i="3"/>
  <c r="V10" i="3"/>
  <c r="V19" i="3"/>
  <c r="AJ4" i="3"/>
  <c r="V29" i="3"/>
  <c r="V27" i="3"/>
  <c r="V25" i="3"/>
  <c r="V21" i="3"/>
  <c r="V22" i="3"/>
  <c r="V33" i="3"/>
  <c r="V8" i="3"/>
  <c r="V24" i="3"/>
  <c r="V31" i="3"/>
  <c r="V14" i="3"/>
  <c r="AR4" i="3"/>
  <c r="V11" i="3"/>
  <c r="V4" i="3"/>
  <c r="AN4" i="3"/>
  <c r="V9" i="3"/>
  <c r="AF4" i="3"/>
  <c r="V15" i="3"/>
  <c r="V20" i="3"/>
  <c r="V17" i="3"/>
  <c r="AI35" i="1"/>
  <c r="AI50" i="1" s="1"/>
  <c r="C1" i="2"/>
  <c r="C102" i="2" s="1"/>
  <c r="AH47" i="1"/>
  <c r="AH51" i="1" s="1"/>
  <c r="AH53" i="1" s="1"/>
  <c r="AH56" i="1" s="1"/>
  <c r="AH59" i="1" s="1"/>
  <c r="AI59" i="1" s="1"/>
  <c r="B2" i="6"/>
  <c r="B6" i="6" s="1"/>
  <c r="G39" i="1"/>
  <c r="AI39" i="1" s="1"/>
  <c r="C5" i="3"/>
  <c r="E4" i="3"/>
  <c r="F47" i="1"/>
  <c r="F51" i="1" s="1"/>
  <c r="G38" i="1"/>
  <c r="AI38" i="1" s="1"/>
  <c r="F34" i="1"/>
  <c r="F35" i="1" s="1"/>
  <c r="F50" i="1" s="1"/>
  <c r="G35" i="1"/>
  <c r="L5" i="3"/>
  <c r="N5" i="3" s="1"/>
  <c r="O5" i="3" s="1"/>
  <c r="Q4" i="3"/>
  <c r="C70" i="1"/>
  <c r="C360" i="2" l="1"/>
  <c r="C235" i="2"/>
  <c r="C202" i="2"/>
  <c r="D160" i="2"/>
  <c r="C100" i="2"/>
  <c r="C293" i="2"/>
  <c r="D77" i="2"/>
  <c r="C144" i="2"/>
  <c r="C151" i="2"/>
  <c r="C221" i="2"/>
  <c r="D224" i="2"/>
  <c r="C356" i="2"/>
  <c r="C326" i="2"/>
  <c r="C194" i="2"/>
  <c r="C344" i="2"/>
  <c r="C165" i="2"/>
  <c r="D58" i="2"/>
  <c r="D27" i="2"/>
  <c r="D137" i="2"/>
  <c r="D125" i="2"/>
  <c r="C225" i="2"/>
  <c r="D361" i="2"/>
  <c r="D168" i="2"/>
  <c r="D64" i="2"/>
  <c r="D360" i="2"/>
  <c r="D298" i="2"/>
  <c r="C74" i="2"/>
  <c r="D39" i="2"/>
  <c r="D112" i="2"/>
  <c r="D100" i="2"/>
  <c r="D30" i="2"/>
  <c r="C110" i="2"/>
  <c r="D24" i="2"/>
  <c r="D327" i="2"/>
  <c r="D324" i="2"/>
  <c r="C107" i="2"/>
  <c r="C136" i="2"/>
  <c r="C238" i="2"/>
  <c r="D320" i="2"/>
  <c r="D282" i="2"/>
  <c r="C67" i="2"/>
  <c r="C195" i="2"/>
  <c r="C340" i="2"/>
  <c r="D107" i="2"/>
  <c r="D153" i="2"/>
  <c r="C7" i="2"/>
  <c r="C32" i="2"/>
  <c r="C204" i="2"/>
  <c r="C351" i="2"/>
  <c r="D101" i="2"/>
  <c r="C281" i="2"/>
  <c r="C181" i="2"/>
  <c r="D252" i="2"/>
  <c r="C35" i="2"/>
  <c r="C129" i="2"/>
  <c r="D118" i="2"/>
  <c r="D46" i="2"/>
  <c r="C167" i="2"/>
  <c r="C302" i="2"/>
  <c r="D336" i="2"/>
  <c r="C157" i="2"/>
  <c r="D322" i="2"/>
  <c r="D61" i="2"/>
  <c r="D68" i="2"/>
  <c r="C275" i="2"/>
  <c r="D70" i="2"/>
  <c r="D20" i="2"/>
  <c r="C191" i="2"/>
  <c r="D262" i="2"/>
  <c r="D198" i="2"/>
  <c r="D281" i="2"/>
  <c r="C234" i="2"/>
  <c r="C297" i="2"/>
  <c r="D121" i="2"/>
  <c r="C105" i="2"/>
  <c r="C196" i="2"/>
  <c r="C359" i="2"/>
  <c r="C99" i="2"/>
  <c r="D242" i="2"/>
  <c r="C158" i="2"/>
  <c r="D127" i="2"/>
  <c r="D194" i="2"/>
  <c r="D195" i="2"/>
  <c r="C38" i="2"/>
  <c r="C321" i="2"/>
  <c r="D240" i="2"/>
  <c r="C232" i="2"/>
  <c r="C140" i="2"/>
  <c r="D154" i="2"/>
  <c r="C127" i="2"/>
  <c r="C132" i="2"/>
  <c r="C292" i="2"/>
  <c r="D191" i="2"/>
  <c r="C278" i="2"/>
  <c r="D359" i="2"/>
  <c r="D167" i="2"/>
  <c r="D89" i="2"/>
  <c r="D74" i="2"/>
  <c r="D115" i="2"/>
  <c r="D230" i="2"/>
  <c r="D214" i="2"/>
  <c r="C45" i="2"/>
  <c r="C349" i="2"/>
  <c r="D269" i="2"/>
  <c r="D140" i="2"/>
  <c r="D268" i="2"/>
  <c r="C330" i="2"/>
  <c r="D162" i="2"/>
  <c r="D53" i="2"/>
  <c r="D293" i="2"/>
  <c r="D241" i="2"/>
  <c r="D332" i="2"/>
  <c r="D264" i="2"/>
  <c r="C324" i="2"/>
  <c r="D244" i="2"/>
  <c r="C125" i="2"/>
  <c r="C50" i="2"/>
  <c r="C44" i="2"/>
  <c r="D106" i="2"/>
  <c r="D193" i="2"/>
  <c r="C154" i="2"/>
  <c r="D14" i="2"/>
  <c r="C287" i="2"/>
  <c r="C92" i="2"/>
  <c r="C312" i="2"/>
  <c r="C121" i="2"/>
  <c r="D200" i="2"/>
  <c r="C131" i="2"/>
  <c r="D31" i="2"/>
  <c r="C183" i="2"/>
  <c r="D43" i="2"/>
  <c r="C120" i="2"/>
  <c r="D135" i="2"/>
  <c r="D333" i="2"/>
  <c r="D29" i="2"/>
  <c r="C252" i="2"/>
  <c r="C241" i="2"/>
  <c r="C236" i="2"/>
  <c r="C58" i="2"/>
  <c r="D203" i="2"/>
  <c r="D35" i="2"/>
  <c r="C325" i="2"/>
  <c r="C270" i="2"/>
  <c r="C362" i="2"/>
  <c r="C26" i="2"/>
  <c r="D258" i="2"/>
  <c r="D19" i="2"/>
  <c r="C227" i="2"/>
  <c r="C309" i="2"/>
  <c r="D339" i="2"/>
  <c r="D182" i="2"/>
  <c r="D75" i="2"/>
  <c r="C178" i="2"/>
  <c r="D136" i="2"/>
  <c r="D216" i="2"/>
  <c r="D183" i="2"/>
  <c r="C43" i="2"/>
  <c r="C276" i="2"/>
  <c r="C296" i="2"/>
  <c r="D231" i="2"/>
  <c r="C320" i="2"/>
  <c r="D129" i="2"/>
  <c r="C23" i="2"/>
  <c r="C303" i="2"/>
  <c r="D189" i="2"/>
  <c r="C222" i="2"/>
  <c r="C230" i="2"/>
  <c r="D96" i="2"/>
  <c r="D181" i="2"/>
  <c r="C130" i="2"/>
  <c r="D40" i="2"/>
  <c r="C233" i="2"/>
  <c r="D76" i="2"/>
  <c r="D222" i="2"/>
  <c r="C115" i="2"/>
  <c r="D54" i="2"/>
  <c r="D59" i="2"/>
  <c r="C268" i="2"/>
  <c r="C122" i="2"/>
  <c r="D197" i="2"/>
  <c r="D120" i="2"/>
  <c r="D78" i="2"/>
  <c r="D248" i="2"/>
  <c r="D286" i="2"/>
  <c r="C20" i="2"/>
  <c r="C311" i="2"/>
  <c r="D123" i="2"/>
  <c r="D105" i="2"/>
  <c r="D272" i="2"/>
  <c r="C338" i="2"/>
  <c r="D330" i="2"/>
  <c r="D142" i="2"/>
  <c r="C251" i="2"/>
  <c r="C265" i="2"/>
  <c r="C209" i="2"/>
  <c r="D302" i="2"/>
  <c r="C90" i="2"/>
  <c r="C6" i="2"/>
  <c r="C258" i="2"/>
  <c r="C299" i="2"/>
  <c r="C163" i="2"/>
  <c r="D108" i="2"/>
  <c r="C9" i="2"/>
  <c r="C117" i="2"/>
  <c r="D110" i="2"/>
  <c r="C345" i="2"/>
  <c r="C285" i="2"/>
  <c r="D276" i="2"/>
  <c r="D303" i="2"/>
  <c r="D251" i="2"/>
  <c r="C175" i="2"/>
  <c r="D186" i="2"/>
  <c r="C350" i="2"/>
  <c r="C207" i="2"/>
  <c r="C203" i="2"/>
  <c r="D259" i="2"/>
  <c r="D307" i="2"/>
  <c r="C155" i="2"/>
  <c r="C249" i="2"/>
  <c r="D363" i="2"/>
  <c r="C82" i="2"/>
  <c r="C358" i="2"/>
  <c r="C331" i="2"/>
  <c r="C97" i="2"/>
  <c r="D280" i="2"/>
  <c r="C77" i="2"/>
  <c r="D253" i="2"/>
  <c r="C59" i="2"/>
  <c r="D69" i="2"/>
  <c r="D211" i="2"/>
  <c r="D99" i="2"/>
  <c r="C339" i="2"/>
  <c r="D218" i="2"/>
  <c r="D228" i="2"/>
  <c r="D187" i="2"/>
  <c r="D364" i="2"/>
  <c r="D292" i="2"/>
  <c r="D225" i="2"/>
  <c r="D220" i="2"/>
  <c r="C216" i="2"/>
  <c r="C71" i="2"/>
  <c r="C231" i="2"/>
  <c r="D337" i="2"/>
  <c r="C63" i="2"/>
  <c r="D237" i="2"/>
  <c r="D232" i="2"/>
  <c r="C357" i="2"/>
  <c r="D205" i="2"/>
  <c r="D92" i="2"/>
  <c r="D308" i="2"/>
  <c r="C244" i="2"/>
  <c r="C70" i="2"/>
  <c r="C212" i="2"/>
  <c r="C56" i="2"/>
  <c r="D48" i="2"/>
  <c r="D184" i="2"/>
  <c r="D13" i="2"/>
  <c r="D209" i="2"/>
  <c r="C269" i="2"/>
  <c r="C333" i="2"/>
  <c r="D204" i="2"/>
  <c r="C87" i="2"/>
  <c r="D212" i="2"/>
  <c r="C30" i="2"/>
  <c r="D164" i="2"/>
  <c r="C83" i="2"/>
  <c r="C174" i="2"/>
  <c r="D98" i="2"/>
  <c r="C60" i="2"/>
  <c r="D149" i="2"/>
  <c r="D60" i="2"/>
  <c r="C55" i="2"/>
  <c r="D223" i="2"/>
  <c r="D17" i="2"/>
  <c r="D179" i="2"/>
  <c r="C25" i="2"/>
  <c r="C86" i="2"/>
  <c r="C16" i="2"/>
  <c r="D358" i="2"/>
  <c r="C182" i="2"/>
  <c r="C179" i="2"/>
  <c r="C49" i="2"/>
  <c r="C290" i="2"/>
  <c r="D83" i="2"/>
  <c r="C128" i="2"/>
  <c r="D28" i="2"/>
  <c r="D287" i="2"/>
  <c r="C51" i="2"/>
  <c r="D290" i="2"/>
  <c r="D80" i="2"/>
  <c r="D346" i="2"/>
  <c r="C353" i="2"/>
  <c r="D250" i="2"/>
  <c r="D72" i="2"/>
  <c r="C266" i="2"/>
  <c r="C162" i="2"/>
  <c r="D354" i="2"/>
  <c r="C114" i="2"/>
  <c r="C329" i="2"/>
  <c r="D314" i="2"/>
  <c r="D326" i="2"/>
  <c r="C143" i="2"/>
  <c r="D176" i="2"/>
  <c r="C283" i="2"/>
  <c r="C126" i="2"/>
  <c r="D7" i="2"/>
  <c r="D71" i="2"/>
  <c r="C104" i="2"/>
  <c r="D256" i="2"/>
  <c r="D201" i="2"/>
  <c r="C36" i="2"/>
  <c r="D213" i="2"/>
  <c r="D37" i="2"/>
  <c r="D90" i="2"/>
  <c r="D102" i="2"/>
  <c r="D284" i="2"/>
  <c r="D323" i="2"/>
  <c r="D95" i="2"/>
  <c r="C65" i="2"/>
  <c r="D141" i="2"/>
  <c r="C211" i="2"/>
  <c r="C18" i="2"/>
  <c r="C277" i="2"/>
  <c r="C111" i="2"/>
  <c r="D16" i="2"/>
  <c r="C188" i="2"/>
  <c r="D226" i="2"/>
  <c r="C335" i="2"/>
  <c r="D344" i="2"/>
  <c r="C5" i="2"/>
  <c r="C137" i="2"/>
  <c r="C34" i="2"/>
  <c r="D47" i="2"/>
  <c r="C187" i="2"/>
  <c r="D67" i="2"/>
  <c r="D148" i="2"/>
  <c r="D350" i="2"/>
  <c r="C10" i="2"/>
  <c r="D356" i="2"/>
  <c r="C153" i="2"/>
  <c r="C146" i="2"/>
  <c r="D113" i="2"/>
  <c r="D185" i="2"/>
  <c r="C332" i="2"/>
  <c r="D309" i="2"/>
  <c r="D285" i="2"/>
  <c r="D93" i="2"/>
  <c r="D296" i="2"/>
  <c r="D219" i="2"/>
  <c r="D51" i="2"/>
  <c r="C346" i="2"/>
  <c r="D81" i="2"/>
  <c r="C176" i="2"/>
  <c r="C88" i="2"/>
  <c r="C228" i="2"/>
  <c r="C273" i="2"/>
  <c r="C134" i="2"/>
  <c r="C240" i="2"/>
  <c r="D325" i="2"/>
  <c r="D157" i="2"/>
  <c r="C73" i="2"/>
  <c r="D45" i="2"/>
  <c r="D169" i="2"/>
  <c r="D174" i="2"/>
  <c r="D196" i="2"/>
  <c r="C53" i="2"/>
  <c r="C156" i="2"/>
  <c r="D79" i="2"/>
  <c r="D25" i="2"/>
  <c r="C113" i="2"/>
  <c r="C79" i="2"/>
  <c r="C301" i="2"/>
  <c r="D192" i="2"/>
  <c r="C139" i="2"/>
  <c r="D210" i="2"/>
  <c r="C41" i="2"/>
  <c r="C13" i="2"/>
  <c r="D172" i="2"/>
  <c r="D260" i="2"/>
  <c r="D238" i="2"/>
  <c r="C52" i="2"/>
  <c r="C61" i="2"/>
  <c r="C334" i="2"/>
  <c r="D159" i="2"/>
  <c r="C98" i="2"/>
  <c r="C342" i="2"/>
  <c r="C57" i="2"/>
  <c r="D341" i="2"/>
  <c r="C76" i="2"/>
  <c r="C81" i="2"/>
  <c r="D166" i="2"/>
  <c r="D156" i="2"/>
  <c r="C108" i="2"/>
  <c r="C75" i="2"/>
  <c r="D139" i="2"/>
  <c r="D353" i="2"/>
  <c r="C282" i="2"/>
  <c r="D207" i="2"/>
  <c r="D279" i="2"/>
  <c r="D221" i="2"/>
  <c r="C343" i="2"/>
  <c r="D34" i="2"/>
  <c r="D301" i="2"/>
  <c r="D236" i="2"/>
  <c r="D338" i="2"/>
  <c r="C206" i="2"/>
  <c r="C279" i="2"/>
  <c r="C101" i="2"/>
  <c r="C294" i="2"/>
  <c r="D111" i="2"/>
  <c r="D134" i="2"/>
  <c r="D126" i="2"/>
  <c r="D146" i="2"/>
  <c r="C284" i="2"/>
  <c r="C257" i="2"/>
  <c r="C315" i="2"/>
  <c r="D316" i="2"/>
  <c r="C54" i="2"/>
  <c r="D275" i="2"/>
  <c r="C260" i="2"/>
  <c r="C150" i="2"/>
  <c r="D267" i="2"/>
  <c r="D41" i="2"/>
  <c r="C306" i="2"/>
  <c r="D208" i="2"/>
  <c r="D317" i="2"/>
  <c r="C220" i="2"/>
  <c r="C84" i="2"/>
  <c r="D247" i="2"/>
  <c r="D217" i="2"/>
  <c r="C161" i="2"/>
  <c r="C190" i="2"/>
  <c r="C197" i="2"/>
  <c r="D249" i="2"/>
  <c r="D8" i="2"/>
  <c r="D22" i="2"/>
  <c r="C253" i="2"/>
  <c r="C262" i="2"/>
  <c r="D151" i="2"/>
  <c r="D170" i="2"/>
  <c r="D266" i="2"/>
  <c r="D84" i="2"/>
  <c r="C348" i="2"/>
  <c r="D295" i="2"/>
  <c r="D206" i="2"/>
  <c r="C201" i="2"/>
  <c r="D289" i="2"/>
  <c r="D104" i="2"/>
  <c r="C239" i="2"/>
  <c r="D277" i="2"/>
  <c r="D311" i="2"/>
  <c r="C248" i="2"/>
  <c r="C189" i="2"/>
  <c r="C219" i="2"/>
  <c r="D144" i="2"/>
  <c r="C119" i="2"/>
  <c r="D329" i="2"/>
  <c r="D131" i="2"/>
  <c r="D263" i="2"/>
  <c r="D257" i="2"/>
  <c r="C310" i="2"/>
  <c r="D49" i="2"/>
  <c r="C337" i="2"/>
  <c r="C286" i="2"/>
  <c r="C109" i="2"/>
  <c r="C173" i="2"/>
  <c r="D177" i="2"/>
  <c r="D233" i="2"/>
  <c r="C264" i="2"/>
  <c r="D147" i="2"/>
  <c r="D297" i="2"/>
  <c r="C27" i="2"/>
  <c r="C198" i="2"/>
  <c r="D312" i="2"/>
  <c r="D15" i="2"/>
  <c r="C141" i="2"/>
  <c r="D85" i="2"/>
  <c r="D274" i="2"/>
  <c r="C29" i="2"/>
  <c r="D145" i="2"/>
  <c r="D190" i="2"/>
  <c r="D62" i="2"/>
  <c r="C267" i="2"/>
  <c r="C319" i="2"/>
  <c r="C47" i="2"/>
  <c r="C336" i="2"/>
  <c r="D283" i="2"/>
  <c r="C218" i="2"/>
  <c r="D355" i="2"/>
  <c r="C318" i="2"/>
  <c r="C229" i="2"/>
  <c r="D138" i="2"/>
  <c r="D351" i="2"/>
  <c r="C172" i="2"/>
  <c r="C261" i="2"/>
  <c r="C224" i="2"/>
  <c r="D55" i="2"/>
  <c r="D288" i="2"/>
  <c r="D44" i="2"/>
  <c r="D150" i="2"/>
  <c r="C94" i="2"/>
  <c r="C166" i="2"/>
  <c r="D278" i="2"/>
  <c r="D26" i="2"/>
  <c r="C364" i="2"/>
  <c r="D87" i="2"/>
  <c r="D328" i="2"/>
  <c r="C31" i="2"/>
  <c r="D245" i="2"/>
  <c r="D255" i="2"/>
  <c r="C91" i="2"/>
  <c r="D310" i="2"/>
  <c r="D202" i="2"/>
  <c r="C223" i="2"/>
  <c r="C12" i="2"/>
  <c r="C135" i="2"/>
  <c r="C208" i="2"/>
  <c r="C255" i="2"/>
  <c r="C48" i="2"/>
  <c r="C327" i="2"/>
  <c r="D342" i="2"/>
  <c r="D273" i="2"/>
  <c r="C93" i="2"/>
  <c r="C142" i="2"/>
  <c r="C354" i="2"/>
  <c r="D319" i="2"/>
  <c r="D21" i="2"/>
  <c r="C96" i="2"/>
  <c r="D265" i="2"/>
  <c r="D239" i="2"/>
  <c r="C256" i="2"/>
  <c r="D165" i="2"/>
  <c r="C300" i="2"/>
  <c r="C289" i="2"/>
  <c r="D52" i="2"/>
  <c r="C215" i="2"/>
  <c r="C254" i="2"/>
  <c r="D124" i="2"/>
  <c r="D243" i="2"/>
  <c r="D5" i="2"/>
  <c r="D321" i="2"/>
  <c r="C69" i="2"/>
  <c r="D155" i="2"/>
  <c r="C263" i="2"/>
  <c r="D178" i="2"/>
  <c r="C185" i="2"/>
  <c r="D291" i="2"/>
  <c r="C103" i="2"/>
  <c r="D305" i="2"/>
  <c r="D114" i="2"/>
  <c r="C72" i="2"/>
  <c r="D246" i="2"/>
  <c r="D109" i="2"/>
  <c r="C363" i="2"/>
  <c r="C68" i="2"/>
  <c r="D128" i="2"/>
  <c r="C186" i="2"/>
  <c r="C148" i="2"/>
  <c r="D318" i="2"/>
  <c r="D42" i="2"/>
  <c r="D234" i="2"/>
  <c r="D57" i="2"/>
  <c r="D32" i="2"/>
  <c r="D66" i="2"/>
  <c r="C22" i="2"/>
  <c r="D73" i="2"/>
  <c r="D82" i="2"/>
  <c r="C245" i="2"/>
  <c r="D331" i="2"/>
  <c r="D362" i="2"/>
  <c r="D340" i="2"/>
  <c r="D175" i="2"/>
  <c r="D133" i="2"/>
  <c r="D119" i="2"/>
  <c r="C21" i="2"/>
  <c r="C80" i="2"/>
  <c r="D38" i="2"/>
  <c r="D11" i="2"/>
  <c r="C242" i="2"/>
  <c r="C322" i="2"/>
  <c r="C295" i="2"/>
  <c r="D347" i="2"/>
  <c r="C42" i="2"/>
  <c r="C214" i="2"/>
  <c r="C298" i="2"/>
  <c r="C89" i="2"/>
  <c r="C28" i="2"/>
  <c r="D116" i="2"/>
  <c r="D180" i="2"/>
  <c r="C85" i="2"/>
  <c r="D171" i="2"/>
  <c r="D158" i="2"/>
  <c r="D227" i="2"/>
  <c r="C24" i="2"/>
  <c r="D313" i="2"/>
  <c r="D334" i="2"/>
  <c r="C192" i="2"/>
  <c r="C160" i="2"/>
  <c r="C313" i="2"/>
  <c r="C271" i="2"/>
  <c r="C46" i="2"/>
  <c r="C213" i="2"/>
  <c r="C210" i="2"/>
  <c r="C66" i="2"/>
  <c r="C328" i="2"/>
  <c r="D343" i="2"/>
  <c r="C304" i="2"/>
  <c r="D33" i="2"/>
  <c r="C288" i="2"/>
  <c r="D56" i="2"/>
  <c r="C19" i="2"/>
  <c r="C170" i="2"/>
  <c r="C317" i="2"/>
  <c r="C205" i="2"/>
  <c r="C316" i="2"/>
  <c r="C8" i="2"/>
  <c r="C147" i="2"/>
  <c r="C145" i="2"/>
  <c r="C259" i="2"/>
  <c r="C323" i="2"/>
  <c r="C116" i="2"/>
  <c r="C314" i="2"/>
  <c r="D304" i="2"/>
  <c r="C15" i="2"/>
  <c r="D36" i="2"/>
  <c r="D299" i="2"/>
  <c r="C33" i="2"/>
  <c r="C180" i="2"/>
  <c r="C39" i="2"/>
  <c r="D86" i="2"/>
  <c r="C159" i="2"/>
  <c r="D130" i="2"/>
  <c r="C217" i="2"/>
  <c r="C250" i="2"/>
  <c r="C149" i="2"/>
  <c r="D88" i="2"/>
  <c r="C237" i="2"/>
  <c r="C64" i="2"/>
  <c r="C11" i="2"/>
  <c r="C272" i="2"/>
  <c r="D215" i="2"/>
  <c r="D9" i="2"/>
  <c r="D163" i="2"/>
  <c r="C355" i="2"/>
  <c r="D229" i="2"/>
  <c r="C200" i="2"/>
  <c r="D143" i="2"/>
  <c r="C291" i="2"/>
  <c r="C274" i="2"/>
  <c r="D188" i="2"/>
  <c r="C133" i="2"/>
  <c r="D357" i="2"/>
  <c r="C307" i="2"/>
  <c r="C168" i="2"/>
  <c r="D91" i="2"/>
  <c r="D315" i="2"/>
  <c r="C62" i="2"/>
  <c r="D117" i="2"/>
  <c r="C280" i="2"/>
  <c r="D352" i="2"/>
  <c r="C123" i="2"/>
  <c r="C247" i="2"/>
  <c r="D65" i="2"/>
  <c r="D300" i="2"/>
  <c r="D132" i="2"/>
  <c r="C37" i="2"/>
  <c r="D6" i="2"/>
  <c r="D271" i="2"/>
  <c r="D18" i="2"/>
  <c r="D97" i="2"/>
  <c r="C118" i="2"/>
  <c r="D270" i="2"/>
  <c r="C193" i="2"/>
  <c r="D50" i="2"/>
  <c r="D63" i="2"/>
  <c r="G14" i="9"/>
  <c r="B6" i="9"/>
  <c r="D254" i="2"/>
  <c r="C305" i="2"/>
  <c r="C169" i="2"/>
  <c r="C112" i="2"/>
  <c r="C246" i="2"/>
  <c r="D12" i="2"/>
  <c r="D23" i="2"/>
  <c r="C164" i="2"/>
  <c r="C226" i="2"/>
  <c r="D261" i="2"/>
  <c r="D335" i="2"/>
  <c r="C78" i="2"/>
  <c r="D94" i="2"/>
  <c r="D306" i="2"/>
  <c r="C171" i="2"/>
  <c r="C352" i="2"/>
  <c r="D173" i="2"/>
  <c r="C95" i="2"/>
  <c r="C361" i="2"/>
  <c r="C199" i="2"/>
  <c r="D348" i="2"/>
  <c r="C308" i="2"/>
  <c r="C106" i="2"/>
  <c r="C243" i="2"/>
  <c r="C124" i="2"/>
  <c r="C138" i="2"/>
  <c r="C14" i="2"/>
  <c r="C17" i="2"/>
  <c r="D349" i="2"/>
  <c r="D345" i="2"/>
  <c r="D103" i="2"/>
  <c r="D10" i="2"/>
  <c r="D199" i="2"/>
  <c r="D294" i="2"/>
  <c r="D152" i="2"/>
  <c r="C177" i="2"/>
  <c r="D235" i="2"/>
  <c r="C152" i="2"/>
  <c r="D122" i="2"/>
  <c r="C347" i="2"/>
  <c r="C40" i="2"/>
  <c r="C184" i="2"/>
  <c r="D161" i="2"/>
  <c r="C341" i="2"/>
  <c r="G14" i="6"/>
  <c r="B15" i="6" s="1"/>
  <c r="C15" i="6" s="1"/>
  <c r="D15" i="6" s="1"/>
  <c r="F53" i="1"/>
  <c r="F56" i="1" s="1"/>
  <c r="C67" i="1"/>
  <c r="G50" i="1"/>
  <c r="G40" i="1"/>
  <c r="AI40" i="1" s="1"/>
  <c r="AI47" i="1" s="1"/>
  <c r="AI51" i="1" s="1"/>
  <c r="AI53" i="1" s="1"/>
  <c r="AI56" i="1" s="1"/>
  <c r="E5" i="3"/>
  <c r="C6" i="3"/>
  <c r="P5" i="3"/>
  <c r="L6" i="3" s="1"/>
  <c r="B10" i="6"/>
  <c r="E15" i="6" l="1"/>
  <c r="G15" i="6" s="1"/>
  <c r="B16" i="6" s="1"/>
  <c r="F22" i="1"/>
  <c r="F25" i="1" s="1"/>
  <c r="G340" i="2"/>
  <c r="G76" i="2"/>
  <c r="G208" i="2"/>
  <c r="G136" i="2"/>
  <c r="G88" i="2"/>
  <c r="G196" i="2"/>
  <c r="G52" i="2"/>
  <c r="G256" i="2"/>
  <c r="G328" i="2"/>
  <c r="G304" i="2"/>
  <c r="G268" i="2"/>
  <c r="G220" i="2"/>
  <c r="G232" i="2"/>
  <c r="G172" i="2"/>
  <c r="G112" i="2"/>
  <c r="G160" i="2"/>
  <c r="G40" i="2"/>
  <c r="G364" i="2"/>
  <c r="G100" i="2"/>
  <c r="G292" i="2"/>
  <c r="G64" i="2"/>
  <c r="G148" i="2"/>
  <c r="G244" i="2"/>
  <c r="E280" i="2"/>
  <c r="G280" i="2"/>
  <c r="F256" i="2"/>
  <c r="G124" i="2"/>
  <c r="G184" i="2"/>
  <c r="G316" i="2"/>
  <c r="G352" i="2"/>
  <c r="F220" i="2"/>
  <c r="E256" i="2"/>
  <c r="E148" i="2"/>
  <c r="G16" i="2"/>
  <c r="E88" i="2"/>
  <c r="F208" i="2"/>
  <c r="F52" i="2"/>
  <c r="E268" i="2"/>
  <c r="E316" i="2"/>
  <c r="E100" i="2"/>
  <c r="F304" i="2"/>
  <c r="F280" i="2"/>
  <c r="E232" i="2"/>
  <c r="E112" i="2"/>
  <c r="F316" i="2"/>
  <c r="F136" i="2"/>
  <c r="G28" i="2"/>
  <c r="E28" i="2"/>
  <c r="F112" i="2"/>
  <c r="F64" i="2"/>
  <c r="E64" i="2"/>
  <c r="E196" i="2"/>
  <c r="E340" i="2"/>
  <c r="E208" i="2"/>
  <c r="E16" i="2"/>
  <c r="E244" i="2"/>
  <c r="F28" i="2"/>
  <c r="E304" i="2"/>
  <c r="F160" i="2"/>
  <c r="F292" i="2"/>
  <c r="F16" i="2"/>
  <c r="F196" i="2"/>
  <c r="F340" i="2"/>
  <c r="E172" i="2"/>
  <c r="F184" i="2"/>
  <c r="E52" i="2"/>
  <c r="E76" i="2"/>
  <c r="E40" i="2"/>
  <c r="E184" i="2"/>
  <c r="E364" i="2"/>
  <c r="F172" i="2"/>
  <c r="B10" i="9"/>
  <c r="B15" i="9"/>
  <c r="E160" i="2"/>
  <c r="F88" i="2"/>
  <c r="E220" i="2"/>
  <c r="F40" i="2"/>
  <c r="F244" i="2"/>
  <c r="F232" i="2"/>
  <c r="F100" i="2"/>
  <c r="E124" i="2"/>
  <c r="E328" i="2"/>
  <c r="F124" i="2"/>
  <c r="E136" i="2"/>
  <c r="E352" i="2"/>
  <c r="F268" i="2"/>
  <c r="F328" i="2"/>
  <c r="E292" i="2"/>
  <c r="F76" i="2"/>
  <c r="F148" i="2"/>
  <c r="F352" i="2"/>
  <c r="F364" i="2"/>
  <c r="Q5" i="3"/>
  <c r="C7" i="3"/>
  <c r="E6" i="3"/>
  <c r="G47" i="1"/>
  <c r="N6" i="3"/>
  <c r="O6" i="3" s="1"/>
  <c r="C15" i="9" l="1"/>
  <c r="F57" i="1"/>
  <c r="F59" i="1" s="1"/>
  <c r="K24" i="1" s="1"/>
  <c r="G25" i="1"/>
  <c r="G57" i="1" s="1"/>
  <c r="C68" i="1"/>
  <c r="G4" i="3"/>
  <c r="G51" i="1"/>
  <c r="G53" i="1" s="1"/>
  <c r="G56" i="1" s="1"/>
  <c r="E7" i="3"/>
  <c r="C8" i="3"/>
  <c r="P6" i="3"/>
  <c r="Q6" i="3" s="1"/>
  <c r="C16" i="6"/>
  <c r="D16" i="6" s="1"/>
  <c r="L24" i="1" l="1"/>
  <c r="D15" i="9"/>
  <c r="G59" i="1"/>
  <c r="C69" i="1" s="1"/>
  <c r="C9" i="3"/>
  <c r="E8" i="3"/>
  <c r="F67" i="1" s="1"/>
  <c r="G5" i="3"/>
  <c r="H4" i="3"/>
  <c r="L7" i="3"/>
  <c r="E16" i="6"/>
  <c r="E15" i="9" l="1"/>
  <c r="K4" i="3"/>
  <c r="X4" i="3"/>
  <c r="H61" i="1" s="1"/>
  <c r="G6" i="3"/>
  <c r="H5" i="3"/>
  <c r="E9" i="3"/>
  <c r="C10" i="3"/>
  <c r="N7" i="3"/>
  <c r="O7" i="3" s="1"/>
  <c r="G16" i="6"/>
  <c r="G15" i="9" l="1"/>
  <c r="H6" i="3"/>
  <c r="G7" i="3"/>
  <c r="X5" i="3"/>
  <c r="K5" i="3"/>
  <c r="C11" i="3"/>
  <c r="E10" i="3"/>
  <c r="AJ5" i="3"/>
  <c r="AN5" i="3"/>
  <c r="AR5" i="3"/>
  <c r="Z4" i="3"/>
  <c r="C74" i="1" s="1"/>
  <c r="U4" i="3"/>
  <c r="P7" i="3"/>
  <c r="B17" i="6"/>
  <c r="B16" i="9" l="1"/>
  <c r="U5" i="3"/>
  <c r="Z5" i="3"/>
  <c r="AR6" i="3"/>
  <c r="AN6" i="3"/>
  <c r="AJ6" i="3"/>
  <c r="G8" i="3"/>
  <c r="H7" i="3"/>
  <c r="C12" i="3"/>
  <c r="E11" i="3"/>
  <c r="K6" i="3"/>
  <c r="X6" i="3"/>
  <c r="L8" i="3"/>
  <c r="Q7" i="3"/>
  <c r="C17" i="6"/>
  <c r="D17" i="6" s="1"/>
  <c r="C16" i="9" l="1"/>
  <c r="F68" i="1"/>
  <c r="F69" i="1" s="1"/>
  <c r="F74" i="1" s="1"/>
  <c r="G9" i="3"/>
  <c r="H8" i="3"/>
  <c r="AR7" i="3"/>
  <c r="AN7" i="3"/>
  <c r="AJ7" i="3"/>
  <c r="Z6" i="3"/>
  <c r="K7" i="3"/>
  <c r="X7" i="3"/>
  <c r="E12" i="3"/>
  <c r="C13" i="3"/>
  <c r="U6" i="3"/>
  <c r="N8" i="3"/>
  <c r="O8" i="3" s="1"/>
  <c r="E17" i="6"/>
  <c r="G17" i="6" s="1"/>
  <c r="D16" i="9" l="1"/>
  <c r="U7" i="3"/>
  <c r="C14" i="3"/>
  <c r="E13" i="3"/>
  <c r="G67" i="1" s="1"/>
  <c r="H9" i="3"/>
  <c r="G10" i="3"/>
  <c r="AJ8" i="3"/>
  <c r="Z7" i="3"/>
  <c r="AN8" i="3"/>
  <c r="AR8" i="3"/>
  <c r="X8" i="3"/>
  <c r="K8" i="3"/>
  <c r="P8" i="3"/>
  <c r="B18" i="6"/>
  <c r="E16" i="9" l="1"/>
  <c r="AN9" i="3"/>
  <c r="Z8" i="3"/>
  <c r="AR9" i="3"/>
  <c r="H10" i="3"/>
  <c r="G11" i="3"/>
  <c r="X9" i="3"/>
  <c r="K9" i="3"/>
  <c r="E14" i="3"/>
  <c r="C15" i="3"/>
  <c r="U8" i="3"/>
  <c r="AM5" i="3"/>
  <c r="F70" i="1"/>
  <c r="L9" i="3"/>
  <c r="Q8" i="3"/>
  <c r="C18" i="6"/>
  <c r="D18" i="6" s="1"/>
  <c r="G16" i="9" l="1"/>
  <c r="U9" i="3"/>
  <c r="G12" i="3"/>
  <c r="H11" i="3"/>
  <c r="E15" i="3"/>
  <c r="C16" i="3"/>
  <c r="Z9" i="3"/>
  <c r="AN10" i="3"/>
  <c r="AR10" i="3"/>
  <c r="X10" i="3"/>
  <c r="K10" i="3"/>
  <c r="N9" i="3"/>
  <c r="O9" i="3" s="1"/>
  <c r="E18" i="6"/>
  <c r="G18" i="6" s="1"/>
  <c r="B17" i="9" l="1"/>
  <c r="P9" i="3"/>
  <c r="Q9" i="3" s="1"/>
  <c r="AM6" i="3" s="1"/>
  <c r="Z10" i="3"/>
  <c r="AR11" i="3"/>
  <c r="AN11" i="3"/>
  <c r="U10" i="3"/>
  <c r="X11" i="3"/>
  <c r="K11" i="3"/>
  <c r="E16" i="3"/>
  <c r="C17" i="3"/>
  <c r="G13" i="3"/>
  <c r="H12" i="3"/>
  <c r="B19" i="6"/>
  <c r="C17" i="9" l="1"/>
  <c r="L10" i="3"/>
  <c r="N10" i="3" s="1"/>
  <c r="O10" i="3" s="1"/>
  <c r="Z11" i="3"/>
  <c r="AR12" i="3"/>
  <c r="AN12" i="3"/>
  <c r="H13" i="3"/>
  <c r="G14" i="3"/>
  <c r="G68" i="1"/>
  <c r="C18" i="3"/>
  <c r="E17" i="3"/>
  <c r="U11" i="3"/>
  <c r="K12" i="3"/>
  <c r="X12" i="3"/>
  <c r="C19" i="6"/>
  <c r="D19" i="6" s="1"/>
  <c r="D17" i="9" l="1"/>
  <c r="P10" i="3"/>
  <c r="Q10" i="3" s="1"/>
  <c r="U12" i="3"/>
  <c r="G69" i="1"/>
  <c r="AR13" i="3"/>
  <c r="AN13" i="3"/>
  <c r="Z12" i="3"/>
  <c r="K13" i="3"/>
  <c r="X13" i="3"/>
  <c r="E18" i="3"/>
  <c r="H67" i="1" s="1"/>
  <c r="C19" i="3"/>
  <c r="H14" i="3"/>
  <c r="G15" i="3"/>
  <c r="E19" i="6"/>
  <c r="G19" i="6" s="1"/>
  <c r="E17" i="9" l="1"/>
  <c r="U13" i="3"/>
  <c r="L11" i="3"/>
  <c r="G16" i="3"/>
  <c r="H15" i="3"/>
  <c r="Z13" i="3"/>
  <c r="AR14" i="3"/>
  <c r="C20" i="3"/>
  <c r="E19" i="3"/>
  <c r="X14" i="3"/>
  <c r="K14" i="3"/>
  <c r="G74" i="1"/>
  <c r="B20" i="6"/>
  <c r="G17" i="9" l="1"/>
  <c r="B18" i="9" s="1"/>
  <c r="U14" i="3"/>
  <c r="N11" i="3"/>
  <c r="O11" i="3" s="1"/>
  <c r="K15" i="3"/>
  <c r="X15" i="3"/>
  <c r="Z14" i="3"/>
  <c r="AR15" i="3"/>
  <c r="C21" i="3"/>
  <c r="E20" i="3"/>
  <c r="H16" i="3"/>
  <c r="G17" i="3"/>
  <c r="C20" i="6"/>
  <c r="D20" i="6" s="1"/>
  <c r="C18" i="9" l="1"/>
  <c r="P11" i="3"/>
  <c r="L12" i="3" s="1"/>
  <c r="N12" i="3" s="1"/>
  <c r="O12" i="3" s="1"/>
  <c r="G18" i="3"/>
  <c r="H17" i="3"/>
  <c r="Z15" i="3"/>
  <c r="AR16" i="3"/>
  <c r="K16" i="3"/>
  <c r="X16" i="3"/>
  <c r="C22" i="3"/>
  <c r="E21" i="3"/>
  <c r="U15" i="3"/>
  <c r="E20" i="6"/>
  <c r="G20" i="6" s="1"/>
  <c r="D18" i="9" l="1"/>
  <c r="Q11" i="3"/>
  <c r="U16" i="3"/>
  <c r="P12" i="3"/>
  <c r="Q12" i="3" s="1"/>
  <c r="C23" i="3"/>
  <c r="E22" i="3"/>
  <c r="AR17" i="3"/>
  <c r="Z16" i="3"/>
  <c r="K17" i="3"/>
  <c r="X17" i="3"/>
  <c r="G19" i="3"/>
  <c r="H18" i="3"/>
  <c r="H68" i="1"/>
  <c r="H69" i="1" s="1"/>
  <c r="H74" i="1" s="1"/>
  <c r="B21" i="6"/>
  <c r="E18" i="9" l="1"/>
  <c r="L13" i="3"/>
  <c r="N13" i="3" s="1"/>
  <c r="O13" i="3" s="1"/>
  <c r="K18" i="3"/>
  <c r="Z18" i="3" s="1"/>
  <c r="X18" i="3"/>
  <c r="G20" i="3"/>
  <c r="H19" i="3"/>
  <c r="AR18" i="3"/>
  <c r="Z17" i="3"/>
  <c r="C24" i="3"/>
  <c r="E23" i="3"/>
  <c r="U17" i="3"/>
  <c r="C21" i="6"/>
  <c r="D21" i="6" s="1"/>
  <c r="G18" i="9" l="1"/>
  <c r="U18" i="3"/>
  <c r="C25" i="3"/>
  <c r="E24" i="3"/>
  <c r="X19" i="3"/>
  <c r="K19" i="3"/>
  <c r="Z19" i="3" s="1"/>
  <c r="G21" i="3"/>
  <c r="H20" i="3"/>
  <c r="P13" i="3"/>
  <c r="L14" i="3" s="1"/>
  <c r="E21" i="6"/>
  <c r="G21" i="6" s="1"/>
  <c r="B19" i="9" l="1"/>
  <c r="AQ5" i="3"/>
  <c r="Q13" i="3"/>
  <c r="G70" i="1"/>
  <c r="X20" i="3"/>
  <c r="K20" i="3"/>
  <c r="Z20" i="3" s="1"/>
  <c r="H21" i="3"/>
  <c r="G22" i="3"/>
  <c r="E25" i="3"/>
  <c r="C26" i="3"/>
  <c r="U19" i="3"/>
  <c r="N14" i="3"/>
  <c r="O14" i="3" s="1"/>
  <c r="B22" i="6"/>
  <c r="C19" i="9" l="1"/>
  <c r="U20" i="3"/>
  <c r="C27" i="3"/>
  <c r="E26" i="3"/>
  <c r="H22" i="3"/>
  <c r="G23" i="3"/>
  <c r="K21" i="3"/>
  <c r="Z21" i="3" s="1"/>
  <c r="X21" i="3"/>
  <c r="P14" i="3"/>
  <c r="L15" i="3" s="1"/>
  <c r="C22" i="6"/>
  <c r="D22" i="6" s="1"/>
  <c r="D19" i="9" l="1"/>
  <c r="E19" i="9" s="1"/>
  <c r="G24" i="3"/>
  <c r="H23" i="3"/>
  <c r="X22" i="3"/>
  <c r="K22" i="3"/>
  <c r="Z22" i="3" s="1"/>
  <c r="C28" i="3"/>
  <c r="E27" i="3"/>
  <c r="Q14" i="3"/>
  <c r="AQ6" i="3" s="1"/>
  <c r="U21" i="3"/>
  <c r="N15" i="3"/>
  <c r="O15" i="3" s="1"/>
  <c r="E22" i="6"/>
  <c r="G22" i="6" s="1"/>
  <c r="G19" i="9" l="1"/>
  <c r="U22" i="3"/>
  <c r="P15" i="3"/>
  <c r="L16" i="3" s="1"/>
  <c r="E28" i="3"/>
  <c r="C29" i="3"/>
  <c r="X23" i="3"/>
  <c r="K23" i="3"/>
  <c r="Z23" i="3" s="1"/>
  <c r="H24" i="3"/>
  <c r="G25" i="3"/>
  <c r="B23" i="6"/>
  <c r="B20" i="9" l="1"/>
  <c r="Q15" i="3"/>
  <c r="X24" i="3"/>
  <c r="K24" i="3"/>
  <c r="Z24" i="3" s="1"/>
  <c r="G26" i="3"/>
  <c r="H25" i="3"/>
  <c r="E29" i="3"/>
  <c r="C30" i="3"/>
  <c r="U23" i="3"/>
  <c r="N16" i="3"/>
  <c r="O16" i="3" s="1"/>
  <c r="C23" i="6"/>
  <c r="D23" i="6" s="1"/>
  <c r="C20" i="9" l="1"/>
  <c r="U24" i="3"/>
  <c r="C31" i="3"/>
  <c r="E30" i="3"/>
  <c r="P16" i="3"/>
  <c r="L17" i="3" s="1"/>
  <c r="X25" i="3"/>
  <c r="K25" i="3"/>
  <c r="Z25" i="3" s="1"/>
  <c r="G27" i="3"/>
  <c r="H26" i="3"/>
  <c r="E23" i="6"/>
  <c r="G23" i="6" s="1"/>
  <c r="D20" i="9" l="1"/>
  <c r="Q16" i="3"/>
  <c r="G28" i="3"/>
  <c r="H27" i="3"/>
  <c r="K26" i="3"/>
  <c r="Z26" i="3" s="1"/>
  <c r="X26" i="3"/>
  <c r="E31" i="3"/>
  <c r="C32" i="3"/>
  <c r="U25" i="3"/>
  <c r="N17" i="3"/>
  <c r="O17" i="3" s="1"/>
  <c r="B24" i="6"/>
  <c r="E20" i="9" l="1"/>
  <c r="U26" i="3"/>
  <c r="E32" i="3"/>
  <c r="C33" i="3"/>
  <c r="K27" i="3"/>
  <c r="Z27" i="3" s="1"/>
  <c r="X27" i="3"/>
  <c r="G29" i="3"/>
  <c r="H28" i="3"/>
  <c r="P17" i="3"/>
  <c r="C24" i="6"/>
  <c r="D24" i="6" s="1"/>
  <c r="G20" i="9" l="1"/>
  <c r="K28" i="3"/>
  <c r="Z28" i="3" s="1"/>
  <c r="X28" i="3"/>
  <c r="G30" i="3"/>
  <c r="H29" i="3"/>
  <c r="E33" i="3"/>
  <c r="C34" i="3"/>
  <c r="E34" i="3" s="1"/>
  <c r="U27" i="3"/>
  <c r="L18" i="3"/>
  <c r="Q17" i="3"/>
  <c r="E24" i="6"/>
  <c r="G24" i="6" s="1"/>
  <c r="B21" i="9" l="1"/>
  <c r="U28" i="3"/>
  <c r="X29" i="3"/>
  <c r="K29" i="3"/>
  <c r="H30" i="3"/>
  <c r="G31" i="3"/>
  <c r="N18" i="3"/>
  <c r="O18" i="3" s="1"/>
  <c r="B25" i="6"/>
  <c r="C21" i="9" l="1"/>
  <c r="H31" i="3"/>
  <c r="G32" i="3"/>
  <c r="P18" i="3"/>
  <c r="L19" i="3" s="1"/>
  <c r="K30" i="3"/>
  <c r="Z30" i="3" s="1"/>
  <c r="X30" i="3"/>
  <c r="Z29" i="3"/>
  <c r="U29" i="3"/>
  <c r="C25" i="6"/>
  <c r="D25" i="6" s="1"/>
  <c r="D21" i="9" l="1"/>
  <c r="Q18" i="3"/>
  <c r="AU6" i="3" s="1"/>
  <c r="U30" i="3"/>
  <c r="AU5" i="3"/>
  <c r="H70" i="1"/>
  <c r="H32" i="3"/>
  <c r="G33" i="3"/>
  <c r="K31" i="3"/>
  <c r="X31" i="3"/>
  <c r="N19" i="3"/>
  <c r="O19" i="3" s="1"/>
  <c r="E25" i="6"/>
  <c r="G25" i="6" s="1"/>
  <c r="E21" i="9" l="1"/>
  <c r="G34" i="3"/>
  <c r="H34" i="3" s="1"/>
  <c r="K34" i="3" s="1"/>
  <c r="H33" i="3"/>
  <c r="Z31" i="3"/>
  <c r="U31" i="3"/>
  <c r="X32" i="3"/>
  <c r="K32" i="3"/>
  <c r="Z32" i="3" s="1"/>
  <c r="P19" i="3"/>
  <c r="B26" i="6"/>
  <c r="G21" i="9" l="1"/>
  <c r="X33" i="3"/>
  <c r="K33" i="3"/>
  <c r="Z33" i="3" s="1"/>
  <c r="U32" i="3"/>
  <c r="L20" i="3"/>
  <c r="Q19" i="3"/>
  <c r="C26" i="6"/>
  <c r="D26" i="6" s="1"/>
  <c r="B22" i="9" l="1"/>
  <c r="U33" i="3"/>
  <c r="N20" i="3"/>
  <c r="O20" i="3" s="1"/>
  <c r="H26" i="6"/>
  <c r="E26" i="6"/>
  <c r="G26" i="6" s="1"/>
  <c r="C22" i="9" l="1"/>
  <c r="P20" i="3"/>
  <c r="Q20" i="3" s="1"/>
  <c r="R4" i="3"/>
  <c r="C72" i="1"/>
  <c r="C71" i="1" s="1"/>
  <c r="B27" i="6"/>
  <c r="D22" i="9" l="1"/>
  <c r="L21" i="3"/>
  <c r="N21" i="3" s="1"/>
  <c r="O21" i="3" s="1"/>
  <c r="C27" i="6"/>
  <c r="D27" i="6" s="1"/>
  <c r="C73" i="1"/>
  <c r="E22" i="9" l="1"/>
  <c r="P21" i="3"/>
  <c r="L22" i="3" s="1"/>
  <c r="E27" i="6"/>
  <c r="G27" i="6" s="1"/>
  <c r="G22" i="9" l="1"/>
  <c r="Q21" i="3"/>
  <c r="N22" i="3"/>
  <c r="O22" i="3" s="1"/>
  <c r="B28" i="6"/>
  <c r="B23" i="9" l="1"/>
  <c r="P22" i="3"/>
  <c r="L23" i="3" s="1"/>
  <c r="C28" i="6"/>
  <c r="D28" i="6" s="1"/>
  <c r="C23" i="9" l="1"/>
  <c r="Q22" i="3"/>
  <c r="N23" i="3"/>
  <c r="O23" i="3" s="1"/>
  <c r="E28" i="6"/>
  <c r="G28" i="6" s="1"/>
  <c r="D23" i="9" l="1"/>
  <c r="P23" i="3"/>
  <c r="B29" i="6"/>
  <c r="E23" i="9" l="1"/>
  <c r="G23" i="9"/>
  <c r="Q23" i="3"/>
  <c r="L24" i="3"/>
  <c r="C29" i="6"/>
  <c r="D29" i="6" s="1"/>
  <c r="B24" i="9" l="1"/>
  <c r="N24" i="3"/>
  <c r="O24" i="3" s="1"/>
  <c r="E29" i="6"/>
  <c r="G29" i="6" s="1"/>
  <c r="C24" i="9" l="1"/>
  <c r="D24" i="9"/>
  <c r="P24" i="3"/>
  <c r="L25" i="3" s="1"/>
  <c r="B30" i="6"/>
  <c r="E24" i="9" l="1"/>
  <c r="Q24" i="3"/>
  <c r="N25" i="3"/>
  <c r="O25" i="3" s="1"/>
  <c r="C30" i="6"/>
  <c r="D30" i="6" s="1"/>
  <c r="G24" i="9" l="1"/>
  <c r="P25" i="3"/>
  <c r="L26" i="3" s="1"/>
  <c r="E30" i="6"/>
  <c r="G30" i="6" s="1"/>
  <c r="B25" i="9" l="1"/>
  <c r="Q25" i="3"/>
  <c r="N26" i="3"/>
  <c r="O26" i="3" s="1"/>
  <c r="B31" i="6"/>
  <c r="C25" i="9" l="1"/>
  <c r="P26" i="3"/>
  <c r="Q26" i="3" s="1"/>
  <c r="C31" i="6"/>
  <c r="D31" i="6" s="1"/>
  <c r="D25" i="9" l="1"/>
  <c r="L27" i="3"/>
  <c r="N27" i="3" s="1"/>
  <c r="O27" i="3" s="1"/>
  <c r="E31" i="6"/>
  <c r="G31" i="6" s="1"/>
  <c r="E25" i="9" l="1"/>
  <c r="P27" i="3"/>
  <c r="B32" i="6"/>
  <c r="G25" i="9" l="1"/>
  <c r="L28" i="3"/>
  <c r="Q27" i="3"/>
  <c r="C32" i="6"/>
  <c r="D32" i="6" s="1"/>
  <c r="B26" i="9" l="1"/>
  <c r="N28" i="3"/>
  <c r="O28" i="3" s="1"/>
  <c r="E32" i="6"/>
  <c r="G32" i="6" s="1"/>
  <c r="C26" i="9" l="1"/>
  <c r="P28" i="3"/>
  <c r="Q28" i="3" s="1"/>
  <c r="B33" i="6"/>
  <c r="D26" i="9" l="1"/>
  <c r="L29" i="3"/>
  <c r="N29" i="3" s="1"/>
  <c r="O29" i="3" s="1"/>
  <c r="C33" i="6"/>
  <c r="D33" i="6" s="1"/>
  <c r="H26" i="9" l="1"/>
  <c r="E26" i="9"/>
  <c r="P29" i="3"/>
  <c r="Q29" i="3" s="1"/>
  <c r="E33" i="6"/>
  <c r="G33" i="6" s="1"/>
  <c r="I4" i="3" l="1"/>
  <c r="L25" i="1" s="1"/>
  <c r="G26" i="9"/>
  <c r="L30" i="3"/>
  <c r="N30" i="3" s="1"/>
  <c r="O30" i="3" s="1"/>
  <c r="B34" i="6"/>
  <c r="K25" i="1" l="1"/>
  <c r="K28" i="1" s="1"/>
  <c r="K30" i="1" s="1"/>
  <c r="L28" i="1"/>
  <c r="L30" i="1" s="1"/>
  <c r="S4" i="3"/>
  <c r="B27" i="9"/>
  <c r="W4" i="3"/>
  <c r="Y4" i="3" s="1"/>
  <c r="C76" i="1" s="1"/>
  <c r="J4" i="3"/>
  <c r="P30" i="3"/>
  <c r="C34" i="6"/>
  <c r="D34" i="6" s="1"/>
  <c r="AB4" i="3" l="1"/>
  <c r="AC4" i="3" s="1"/>
  <c r="AD4" i="3"/>
  <c r="AE4" i="3" s="1"/>
  <c r="C27" i="9"/>
  <c r="T4" i="3"/>
  <c r="AA4" i="3" s="1"/>
  <c r="AI7" i="3"/>
  <c r="AF5" i="3" s="1"/>
  <c r="Q30" i="3"/>
  <c r="L31" i="3"/>
  <c r="E34" i="6"/>
  <c r="G34" i="6" s="1"/>
  <c r="AI21" i="3" l="1"/>
  <c r="AI19" i="3"/>
  <c r="C75" i="1" s="1"/>
  <c r="D27" i="9"/>
  <c r="N31" i="3"/>
  <c r="O31" i="3" s="1"/>
  <c r="B35" i="6"/>
  <c r="E27" i="9" l="1"/>
  <c r="P31" i="3"/>
  <c r="L32" i="3" s="1"/>
  <c r="C35" i="6"/>
  <c r="D35" i="6" s="1"/>
  <c r="G27" i="9" l="1"/>
  <c r="Q31" i="3"/>
  <c r="N32" i="3"/>
  <c r="O32" i="3" s="1"/>
  <c r="E35" i="6"/>
  <c r="G35" i="6" s="1"/>
  <c r="B28" i="9" l="1"/>
  <c r="P32" i="3"/>
  <c r="B36" i="6"/>
  <c r="C28" i="9" l="1"/>
  <c r="Q32" i="3"/>
  <c r="L33" i="3"/>
  <c r="C36" i="6"/>
  <c r="D36" i="6" s="1"/>
  <c r="D28" i="9" l="1"/>
  <c r="N33" i="3"/>
  <c r="O33" i="3" s="1"/>
  <c r="E36" i="6"/>
  <c r="G36" i="6" s="1"/>
  <c r="E28" i="9" l="1"/>
  <c r="P33" i="3"/>
  <c r="Q33" i="3" s="1"/>
  <c r="B37" i="6"/>
  <c r="G28" i="9" l="1"/>
  <c r="L34" i="3"/>
  <c r="N34" i="3" s="1"/>
  <c r="C37" i="6"/>
  <c r="D37" i="6" s="1"/>
  <c r="B29" i="9" l="1"/>
  <c r="E37" i="6"/>
  <c r="G37" i="6" s="1"/>
  <c r="C29" i="9" l="1"/>
  <c r="B38" i="6"/>
  <c r="D29" i="9" l="1"/>
  <c r="C38" i="6"/>
  <c r="D38" i="6" s="1"/>
  <c r="E29" i="9" l="1"/>
  <c r="H38" i="6"/>
  <c r="E38" i="6"/>
  <c r="G38" i="6" s="1"/>
  <c r="G29" i="9" l="1"/>
  <c r="R5" i="3"/>
  <c r="B39" i="6"/>
  <c r="B30" i="9" l="1"/>
  <c r="C39" i="6"/>
  <c r="D39" i="6" s="1"/>
  <c r="C30" i="9" l="1"/>
  <c r="E39" i="6"/>
  <c r="G39" i="6" s="1"/>
  <c r="D30" i="9" l="1"/>
  <c r="B40" i="6"/>
  <c r="E30" i="9" l="1"/>
  <c r="C40" i="6"/>
  <c r="D40" i="6" s="1"/>
  <c r="G30" i="9" l="1"/>
  <c r="E40" i="6"/>
  <c r="G40" i="6" s="1"/>
  <c r="B31" i="9" l="1"/>
  <c r="B41" i="6"/>
  <c r="C31" i="9" l="1"/>
  <c r="C41" i="6"/>
  <c r="D41" i="6" s="1"/>
  <c r="D31" i="9" l="1"/>
  <c r="E41" i="6"/>
  <c r="G41" i="6" s="1"/>
  <c r="E31" i="9" l="1"/>
  <c r="B42" i="6"/>
  <c r="G31" i="9" l="1"/>
  <c r="C42" i="6"/>
  <c r="D42" i="6" s="1"/>
  <c r="B32" i="9" l="1"/>
  <c r="E42" i="6"/>
  <c r="G42" i="6" s="1"/>
  <c r="C32" i="9" l="1"/>
  <c r="B43" i="6"/>
  <c r="D32" i="9" l="1"/>
  <c r="C43" i="6"/>
  <c r="D43" i="6" s="1"/>
  <c r="E32" i="9" l="1"/>
  <c r="E43" i="6"/>
  <c r="G43" i="6" s="1"/>
  <c r="G32" i="9" l="1"/>
  <c r="B44" i="6"/>
  <c r="B33" i="9" l="1"/>
  <c r="C44" i="6"/>
  <c r="D44" i="6" s="1"/>
  <c r="C33" i="9" l="1"/>
  <c r="E44" i="6"/>
  <c r="G44" i="6" s="1"/>
  <c r="D33" i="9" l="1"/>
  <c r="B45" i="6"/>
  <c r="E33" i="9" l="1"/>
  <c r="C45" i="6"/>
  <c r="D45" i="6" s="1"/>
  <c r="G33" i="9" l="1"/>
  <c r="E45" i="6"/>
  <c r="G45" i="6" s="1"/>
  <c r="B34" i="9" l="1"/>
  <c r="B46" i="6"/>
  <c r="C34" i="9" l="1"/>
  <c r="C46" i="6"/>
  <c r="D46" i="6" s="1"/>
  <c r="D34" i="9" l="1"/>
  <c r="E46" i="6"/>
  <c r="G46" i="6" s="1"/>
  <c r="E34" i="9" l="1"/>
  <c r="B47" i="6"/>
  <c r="G34" i="9" l="1"/>
  <c r="C47" i="6"/>
  <c r="D47" i="6" s="1"/>
  <c r="B35" i="9" l="1"/>
  <c r="E47" i="6"/>
  <c r="G47" i="6" s="1"/>
  <c r="C35" i="9" l="1"/>
  <c r="B48" i="6"/>
  <c r="D35" i="9" l="1"/>
  <c r="C48" i="6"/>
  <c r="D48" i="6" s="1"/>
  <c r="E35" i="9" l="1"/>
  <c r="E48" i="6"/>
  <c r="G48" i="6" s="1"/>
  <c r="G35" i="9" l="1"/>
  <c r="B49" i="6"/>
  <c r="B36" i="9" l="1"/>
  <c r="C49" i="6"/>
  <c r="D49" i="6" s="1"/>
  <c r="C36" i="9" l="1"/>
  <c r="E49" i="6"/>
  <c r="G49" i="6" s="1"/>
  <c r="D36" i="9" l="1"/>
  <c r="B50" i="6"/>
  <c r="E36" i="9" l="1"/>
  <c r="C50" i="6"/>
  <c r="D50" i="6" s="1"/>
  <c r="G36" i="9" l="1"/>
  <c r="H50" i="6"/>
  <c r="E50" i="6"/>
  <c r="G50" i="6" s="1"/>
  <c r="B37" i="9" l="1"/>
  <c r="R6" i="3"/>
  <c r="B51" i="6"/>
  <c r="C37" i="9" l="1"/>
  <c r="C51" i="6"/>
  <c r="D51" i="6" s="1"/>
  <c r="D37" i="9" l="1"/>
  <c r="E51" i="6"/>
  <c r="G51" i="6" s="1"/>
  <c r="E37" i="9" l="1"/>
  <c r="B52" i="6"/>
  <c r="G37" i="9" l="1"/>
  <c r="C52" i="6"/>
  <c r="D52" i="6" s="1"/>
  <c r="B38" i="9" l="1"/>
  <c r="E52" i="6"/>
  <c r="G52" i="6" s="1"/>
  <c r="C38" i="9" l="1"/>
  <c r="B53" i="6"/>
  <c r="D38" i="9" l="1"/>
  <c r="C53" i="6"/>
  <c r="D53" i="6" s="1"/>
  <c r="H38" i="9" l="1"/>
  <c r="E38" i="9"/>
  <c r="E53" i="6"/>
  <c r="G53" i="6" s="1"/>
  <c r="G38" i="9" l="1"/>
  <c r="I5" i="3"/>
  <c r="B54" i="6"/>
  <c r="W5" i="3" l="1"/>
  <c r="J5" i="3"/>
  <c r="S5" i="3"/>
  <c r="T5" i="3" s="1"/>
  <c r="B39" i="9"/>
  <c r="C54" i="6"/>
  <c r="D54" i="6" s="1"/>
  <c r="C39" i="9" l="1"/>
  <c r="AA5" i="3"/>
  <c r="Y5" i="3"/>
  <c r="AD5" i="3"/>
  <c r="AE5" i="3" s="1"/>
  <c r="AB5" i="3"/>
  <c r="AC5" i="3" s="1"/>
  <c r="E54" i="6"/>
  <c r="G54" i="6" s="1"/>
  <c r="D39" i="9" l="1"/>
  <c r="B55" i="6"/>
  <c r="E39" i="9" l="1"/>
  <c r="C55" i="6"/>
  <c r="D55" i="6" s="1"/>
  <c r="G39" i="9" l="1"/>
  <c r="E55" i="6"/>
  <c r="G55" i="6" s="1"/>
  <c r="B40" i="9" l="1"/>
  <c r="B56" i="6"/>
  <c r="C40" i="9" l="1"/>
  <c r="C56" i="6"/>
  <c r="D56" i="6" s="1"/>
  <c r="D40" i="9" l="1"/>
  <c r="E56" i="6"/>
  <c r="G56" i="6" s="1"/>
  <c r="E40" i="9" l="1"/>
  <c r="B57" i="6"/>
  <c r="G40" i="9" l="1"/>
  <c r="C57" i="6"/>
  <c r="D57" i="6" s="1"/>
  <c r="B41" i="9" l="1"/>
  <c r="E57" i="6"/>
  <c r="G57" i="6" s="1"/>
  <c r="C41" i="9" l="1"/>
  <c r="B58" i="6"/>
  <c r="D41" i="9" l="1"/>
  <c r="C58" i="6"/>
  <c r="D58" i="6" s="1"/>
  <c r="E41" i="9" l="1"/>
  <c r="E58" i="6"/>
  <c r="G58" i="6" s="1"/>
  <c r="G41" i="9" l="1"/>
  <c r="B59" i="6"/>
  <c r="B42" i="9" l="1"/>
  <c r="C59" i="6"/>
  <c r="D59" i="6" s="1"/>
  <c r="C42" i="9" l="1"/>
  <c r="E59" i="6"/>
  <c r="G59" i="6" s="1"/>
  <c r="D42" i="9" l="1"/>
  <c r="B60" i="6"/>
  <c r="E42" i="9" l="1"/>
  <c r="C60" i="6"/>
  <c r="D60" i="6" s="1"/>
  <c r="G42" i="9" l="1"/>
  <c r="E60" i="6"/>
  <c r="G60" i="6" s="1"/>
  <c r="B43" i="9" l="1"/>
  <c r="B61" i="6"/>
  <c r="C43" i="9" l="1"/>
  <c r="C61" i="6"/>
  <c r="D61" i="6" s="1"/>
  <c r="D43" i="9" l="1"/>
  <c r="E61" i="6"/>
  <c r="G61" i="6" s="1"/>
  <c r="E43" i="9" l="1"/>
  <c r="B62" i="6"/>
  <c r="G43" i="9" l="1"/>
  <c r="C62" i="6"/>
  <c r="D62" i="6" s="1"/>
  <c r="B44" i="9" l="1"/>
  <c r="H62" i="6"/>
  <c r="E62" i="6"/>
  <c r="G62" i="6" s="1"/>
  <c r="C44" i="9" l="1"/>
  <c r="R7" i="3"/>
  <c r="B63" i="6"/>
  <c r="D44" i="9" l="1"/>
  <c r="C63" i="6"/>
  <c r="D63" i="6" s="1"/>
  <c r="E44" i="9" l="1"/>
  <c r="E63" i="6"/>
  <c r="G63" i="6" s="1"/>
  <c r="G44" i="9" l="1"/>
  <c r="B64" i="6"/>
  <c r="B45" i="9" l="1"/>
  <c r="C64" i="6"/>
  <c r="D64" i="6" s="1"/>
  <c r="C45" i="9" l="1"/>
  <c r="E64" i="6"/>
  <c r="G64" i="6" s="1"/>
  <c r="D45" i="9" l="1"/>
  <c r="B65" i="6"/>
  <c r="E45" i="9" l="1"/>
  <c r="C65" i="6"/>
  <c r="D65" i="6" s="1"/>
  <c r="G45" i="9" l="1"/>
  <c r="E65" i="6"/>
  <c r="G65" i="6" s="1"/>
  <c r="B46" i="9" l="1"/>
  <c r="B66" i="6"/>
  <c r="C46" i="9" l="1"/>
  <c r="C66" i="6"/>
  <c r="D66" i="6" s="1"/>
  <c r="D46" i="9" l="1"/>
  <c r="E66" i="6"/>
  <c r="G66" i="6" s="1"/>
  <c r="E46" i="9" l="1"/>
  <c r="B67" i="6"/>
  <c r="G46" i="9" l="1"/>
  <c r="C67" i="6"/>
  <c r="D67" i="6" s="1"/>
  <c r="B47" i="9" l="1"/>
  <c r="E67" i="6"/>
  <c r="G67" i="6" s="1"/>
  <c r="C47" i="9" l="1"/>
  <c r="B68" i="6"/>
  <c r="D47" i="9" l="1"/>
  <c r="C68" i="6"/>
  <c r="D68" i="6" s="1"/>
  <c r="E47" i="9" l="1"/>
  <c r="E68" i="6"/>
  <c r="G68" i="6" s="1"/>
  <c r="G47" i="9" l="1"/>
  <c r="B69" i="6"/>
  <c r="B48" i="9" l="1"/>
  <c r="C69" i="6"/>
  <c r="D69" i="6" s="1"/>
  <c r="C48" i="9" l="1"/>
  <c r="E69" i="6"/>
  <c r="G69" i="6" s="1"/>
  <c r="D48" i="9" l="1"/>
  <c r="B70" i="6"/>
  <c r="E48" i="9" l="1"/>
  <c r="C70" i="6"/>
  <c r="D70" i="6" s="1"/>
  <c r="G48" i="9" l="1"/>
  <c r="E70" i="6"/>
  <c r="G70" i="6" s="1"/>
  <c r="B49" i="9" l="1"/>
  <c r="B71" i="6"/>
  <c r="C49" i="9" l="1"/>
  <c r="C71" i="6"/>
  <c r="D71" i="6" s="1"/>
  <c r="D49" i="9" l="1"/>
  <c r="E71" i="6"/>
  <c r="G71" i="6" s="1"/>
  <c r="E49" i="9" l="1"/>
  <c r="B72" i="6"/>
  <c r="G49" i="9" l="1"/>
  <c r="C72" i="6"/>
  <c r="D72" i="6" s="1"/>
  <c r="B50" i="9" l="1"/>
  <c r="E72" i="6"/>
  <c r="G72" i="6" s="1"/>
  <c r="C50" i="9" l="1"/>
  <c r="B73" i="6"/>
  <c r="D50" i="9" l="1"/>
  <c r="C73" i="6"/>
  <c r="D73" i="6" s="1"/>
  <c r="H50" i="9" l="1"/>
  <c r="E50" i="9"/>
  <c r="E73" i="6"/>
  <c r="G73" i="6" s="1"/>
  <c r="G50" i="9" l="1"/>
  <c r="I6" i="3"/>
  <c r="B74" i="6"/>
  <c r="J6" i="3" l="1"/>
  <c r="W6" i="3"/>
  <c r="S6" i="3"/>
  <c r="T6" i="3" s="1"/>
  <c r="B51" i="9"/>
  <c r="C74" i="6"/>
  <c r="D74" i="6" s="1"/>
  <c r="C51" i="9" l="1"/>
  <c r="AA6" i="3"/>
  <c r="Y6" i="3"/>
  <c r="AD6" i="3"/>
  <c r="AE6" i="3" s="1"/>
  <c r="AB6" i="3"/>
  <c r="AC6" i="3" s="1"/>
  <c r="H74" i="6"/>
  <c r="E74" i="6"/>
  <c r="G74" i="6" s="1"/>
  <c r="F72" i="1" s="1"/>
  <c r="D51" i="9" l="1"/>
  <c r="F71" i="1"/>
  <c r="F73" i="1"/>
  <c r="R8" i="3"/>
  <c r="B75" i="6"/>
  <c r="E51" i="9" l="1"/>
  <c r="C75" i="6"/>
  <c r="D75" i="6" s="1"/>
  <c r="G51" i="9" l="1"/>
  <c r="E75" i="6"/>
  <c r="G75" i="6" s="1"/>
  <c r="B52" i="9" l="1"/>
  <c r="B76" i="6"/>
  <c r="C52" i="9" l="1"/>
  <c r="C76" i="6"/>
  <c r="D76" i="6" s="1"/>
  <c r="D52" i="9" l="1"/>
  <c r="E76" i="6"/>
  <c r="G76" i="6" s="1"/>
  <c r="E52" i="9" l="1"/>
  <c r="B77" i="6"/>
  <c r="G52" i="9" l="1"/>
  <c r="C77" i="6"/>
  <c r="D77" i="6" s="1"/>
  <c r="B53" i="9" l="1"/>
  <c r="E77" i="6"/>
  <c r="G77" i="6" s="1"/>
  <c r="C53" i="9" l="1"/>
  <c r="B78" i="6"/>
  <c r="D53" i="9" l="1"/>
  <c r="C78" i="6"/>
  <c r="D78" i="6" s="1"/>
  <c r="E53" i="9" l="1"/>
  <c r="E78" i="6"/>
  <c r="G78" i="6" s="1"/>
  <c r="G53" i="9" l="1"/>
  <c r="B79" i="6"/>
  <c r="B54" i="9" l="1"/>
  <c r="C79" i="6"/>
  <c r="D79" i="6" s="1"/>
  <c r="C54" i="9" l="1"/>
  <c r="E79" i="6"/>
  <c r="G79" i="6" s="1"/>
  <c r="D54" i="9" l="1"/>
  <c r="B80" i="6"/>
  <c r="E54" i="9" l="1"/>
  <c r="C80" i="6"/>
  <c r="D80" i="6" s="1"/>
  <c r="G54" i="9" l="1"/>
  <c r="E80" i="6"/>
  <c r="G80" i="6" s="1"/>
  <c r="B55" i="9" l="1"/>
  <c r="B81" i="6"/>
  <c r="C55" i="9" l="1"/>
  <c r="C81" i="6"/>
  <c r="D81" i="6" s="1"/>
  <c r="D55" i="9" l="1"/>
  <c r="E81" i="6"/>
  <c r="G81" i="6" s="1"/>
  <c r="E55" i="9" l="1"/>
  <c r="B82" i="6"/>
  <c r="G55" i="9" l="1"/>
  <c r="C82" i="6"/>
  <c r="D82" i="6" s="1"/>
  <c r="B56" i="9" l="1"/>
  <c r="E82" i="6"/>
  <c r="G82" i="6" s="1"/>
  <c r="C56" i="9" l="1"/>
  <c r="B83" i="6"/>
  <c r="D56" i="9" l="1"/>
  <c r="C83" i="6"/>
  <c r="D83" i="6" s="1"/>
  <c r="E56" i="9" l="1"/>
  <c r="E83" i="6"/>
  <c r="G83" i="6" s="1"/>
  <c r="G56" i="9" l="1"/>
  <c r="B84" i="6"/>
  <c r="B57" i="9" l="1"/>
  <c r="C84" i="6"/>
  <c r="D84" i="6" s="1"/>
  <c r="C57" i="9" l="1"/>
  <c r="E84" i="6"/>
  <c r="G84" i="6" s="1"/>
  <c r="D57" i="9" l="1"/>
  <c r="B85" i="6"/>
  <c r="E57" i="9" l="1"/>
  <c r="C85" i="6"/>
  <c r="D85" i="6" s="1"/>
  <c r="G57" i="9" l="1"/>
  <c r="E85" i="6"/>
  <c r="G85" i="6" s="1"/>
  <c r="B58" i="9" l="1"/>
  <c r="B86" i="6"/>
  <c r="C58" i="9" l="1"/>
  <c r="C86" i="6"/>
  <c r="D86" i="6" s="1"/>
  <c r="D58" i="9" l="1"/>
  <c r="H86" i="6"/>
  <c r="E86" i="6"/>
  <c r="G86" i="6" s="1"/>
  <c r="E58" i="9" l="1"/>
  <c r="R9" i="3"/>
  <c r="B87" i="6"/>
  <c r="G58" i="9" l="1"/>
  <c r="C87" i="6"/>
  <c r="D87" i="6" s="1"/>
  <c r="B59" i="9" l="1"/>
  <c r="E87" i="6"/>
  <c r="G87" i="6" s="1"/>
  <c r="C59" i="9" l="1"/>
  <c r="B88" i="6"/>
  <c r="D59" i="9" l="1"/>
  <c r="C88" i="6"/>
  <c r="D88" i="6" s="1"/>
  <c r="E59" i="9" l="1"/>
  <c r="E88" i="6"/>
  <c r="G88" i="6" s="1"/>
  <c r="G59" i="9" l="1"/>
  <c r="B89" i="6"/>
  <c r="B60" i="9" l="1"/>
  <c r="C89" i="6"/>
  <c r="D89" i="6" s="1"/>
  <c r="C60" i="9" l="1"/>
  <c r="E89" i="6"/>
  <c r="G89" i="6" s="1"/>
  <c r="D60" i="9" l="1"/>
  <c r="B90" i="6"/>
  <c r="E60" i="9" l="1"/>
  <c r="C90" i="6"/>
  <c r="D90" i="6" s="1"/>
  <c r="G60" i="9" l="1"/>
  <c r="E90" i="6"/>
  <c r="G90" i="6" s="1"/>
  <c r="B61" i="9" l="1"/>
  <c r="B91" i="6"/>
  <c r="C61" i="9" l="1"/>
  <c r="C91" i="6"/>
  <c r="D91" i="6" s="1"/>
  <c r="D61" i="9" l="1"/>
  <c r="E91" i="6"/>
  <c r="G91" i="6" s="1"/>
  <c r="E61" i="9" l="1"/>
  <c r="B92" i="6"/>
  <c r="G61" i="9" l="1"/>
  <c r="C92" i="6"/>
  <c r="D92" i="6" s="1"/>
  <c r="B62" i="9" l="1"/>
  <c r="E92" i="6"/>
  <c r="G92" i="6" s="1"/>
  <c r="C62" i="9" l="1"/>
  <c r="B93" i="6"/>
  <c r="D62" i="9" l="1"/>
  <c r="C93" i="6"/>
  <c r="D93" i="6" s="1"/>
  <c r="H62" i="9" l="1"/>
  <c r="E62" i="9"/>
  <c r="E93" i="6"/>
  <c r="G93" i="6" s="1"/>
  <c r="G62" i="9" l="1"/>
  <c r="I7" i="3"/>
  <c r="B94" i="6"/>
  <c r="J7" i="3" l="1"/>
  <c r="W7" i="3"/>
  <c r="S7" i="3"/>
  <c r="T7" i="3" s="1"/>
  <c r="B63" i="9"/>
  <c r="C94" i="6"/>
  <c r="D94" i="6" s="1"/>
  <c r="C63" i="9" l="1"/>
  <c r="AA7" i="3"/>
  <c r="Y7" i="3"/>
  <c r="AB7" i="3"/>
  <c r="AC7" i="3" s="1"/>
  <c r="AD7" i="3"/>
  <c r="AE7" i="3" s="1"/>
  <c r="E94" i="6"/>
  <c r="G94" i="6" s="1"/>
  <c r="D63" i="9" l="1"/>
  <c r="B95" i="6"/>
  <c r="E63" i="9" l="1"/>
  <c r="C95" i="6"/>
  <c r="D95" i="6" s="1"/>
  <c r="G63" i="9" l="1"/>
  <c r="E95" i="6"/>
  <c r="G95" i="6" s="1"/>
  <c r="B64" i="9" l="1"/>
  <c r="B96" i="6"/>
  <c r="C64" i="9" l="1"/>
  <c r="C96" i="6"/>
  <c r="D96" i="6" s="1"/>
  <c r="D64" i="9" l="1"/>
  <c r="E96" i="6"/>
  <c r="E64" i="9" l="1"/>
  <c r="G96" i="6"/>
  <c r="B97" i="6" s="1"/>
  <c r="G64" i="9" l="1"/>
  <c r="C97" i="6"/>
  <c r="D97" i="6" s="1"/>
  <c r="B65" i="9" l="1"/>
  <c r="E97" i="6"/>
  <c r="G97" i="6" s="1"/>
  <c r="C65" i="9" l="1"/>
  <c r="B98" i="6"/>
  <c r="D65" i="9" l="1"/>
  <c r="C98" i="6"/>
  <c r="D98" i="6" s="1"/>
  <c r="E65" i="9" l="1"/>
  <c r="H98" i="6"/>
  <c r="E98" i="6"/>
  <c r="G98" i="6" s="1"/>
  <c r="G65" i="9" l="1"/>
  <c r="R10" i="3"/>
  <c r="B99" i="6"/>
  <c r="B66" i="9" l="1"/>
  <c r="C99" i="6"/>
  <c r="D99" i="6" s="1"/>
  <c r="C66" i="9" l="1"/>
  <c r="E99" i="6"/>
  <c r="G99" i="6" s="1"/>
  <c r="D66" i="9" l="1"/>
  <c r="B100" i="6"/>
  <c r="E66" i="9" l="1"/>
  <c r="C100" i="6"/>
  <c r="D100" i="6" s="1"/>
  <c r="G66" i="9" l="1"/>
  <c r="E100" i="6"/>
  <c r="G100" i="6" s="1"/>
  <c r="B67" i="9" l="1"/>
  <c r="B101" i="6"/>
  <c r="C67" i="9" l="1"/>
  <c r="C101" i="6"/>
  <c r="D101" i="6" s="1"/>
  <c r="D67" i="9" l="1"/>
  <c r="E101" i="6"/>
  <c r="G101" i="6" s="1"/>
  <c r="E67" i="9" l="1"/>
  <c r="B102" i="6"/>
  <c r="G67" i="9" l="1"/>
  <c r="C102" i="6"/>
  <c r="D102" i="6" s="1"/>
  <c r="B68" i="9" l="1"/>
  <c r="E102" i="6"/>
  <c r="G102" i="6" s="1"/>
  <c r="C68" i="9" l="1"/>
  <c r="B103" i="6"/>
  <c r="D68" i="9" l="1"/>
  <c r="C103" i="6"/>
  <c r="D103" i="6" s="1"/>
  <c r="E68" i="9" l="1"/>
  <c r="E103" i="6"/>
  <c r="G103" i="6" s="1"/>
  <c r="G68" i="9" l="1"/>
  <c r="B104" i="6"/>
  <c r="B69" i="9" l="1"/>
  <c r="C104" i="6"/>
  <c r="D104" i="6" s="1"/>
  <c r="C69" i="9" l="1"/>
  <c r="E104" i="6"/>
  <c r="G104" i="6" s="1"/>
  <c r="D69" i="9" l="1"/>
  <c r="B105" i="6"/>
  <c r="E69" i="9" l="1"/>
  <c r="C105" i="6"/>
  <c r="D105" i="6" s="1"/>
  <c r="G69" i="9" l="1"/>
  <c r="E105" i="6"/>
  <c r="G105" i="6" s="1"/>
  <c r="B70" i="9" l="1"/>
  <c r="B106" i="6"/>
  <c r="C70" i="9" l="1"/>
  <c r="C106" i="6"/>
  <c r="D106" i="6" s="1"/>
  <c r="D70" i="9" l="1"/>
  <c r="E106" i="6"/>
  <c r="G106" i="6" s="1"/>
  <c r="E70" i="9" l="1"/>
  <c r="B107" i="6"/>
  <c r="G70" i="9" l="1"/>
  <c r="C107" i="6"/>
  <c r="D107" i="6" s="1"/>
  <c r="B71" i="9" l="1"/>
  <c r="E107" i="6"/>
  <c r="G107" i="6" s="1"/>
  <c r="C71" i="9" l="1"/>
  <c r="B108" i="6"/>
  <c r="D71" i="9" l="1"/>
  <c r="C108" i="6"/>
  <c r="D108" i="6" s="1"/>
  <c r="E71" i="9" l="1"/>
  <c r="E108" i="6"/>
  <c r="G108" i="6" s="1"/>
  <c r="G71" i="9" l="1"/>
  <c r="B109" i="6"/>
  <c r="B72" i="9" l="1"/>
  <c r="C109" i="6"/>
  <c r="D109" i="6" s="1"/>
  <c r="C72" i="9" l="1"/>
  <c r="E109" i="6"/>
  <c r="G109" i="6" s="1"/>
  <c r="D72" i="9" l="1"/>
  <c r="B110" i="6"/>
  <c r="E72" i="9" l="1"/>
  <c r="C110" i="6"/>
  <c r="D110" i="6" s="1"/>
  <c r="G72" i="9" l="1"/>
  <c r="H110" i="6"/>
  <c r="E110" i="6"/>
  <c r="G110" i="6" s="1"/>
  <c r="B73" i="9" l="1"/>
  <c r="R11" i="3"/>
  <c r="B111" i="6"/>
  <c r="C73" i="9" l="1"/>
  <c r="C111" i="6"/>
  <c r="D111" i="6" s="1"/>
  <c r="D73" i="9" l="1"/>
  <c r="E111" i="6"/>
  <c r="G111" i="6" s="1"/>
  <c r="E73" i="9" l="1"/>
  <c r="B112" i="6"/>
  <c r="G73" i="9" l="1"/>
  <c r="C112" i="6"/>
  <c r="D112" i="6" s="1"/>
  <c r="B74" i="9" l="1"/>
  <c r="E112" i="6"/>
  <c r="G112" i="6" s="1"/>
  <c r="C74" i="9" l="1"/>
  <c r="B113" i="6"/>
  <c r="D74" i="9" l="1"/>
  <c r="C113" i="6"/>
  <c r="D113" i="6" s="1"/>
  <c r="H74" i="9" l="1"/>
  <c r="E74" i="9"/>
  <c r="E113" i="6"/>
  <c r="G113" i="6" s="1"/>
  <c r="G74" i="9" l="1"/>
  <c r="I8" i="3"/>
  <c r="B114" i="6"/>
  <c r="J8" i="3" l="1"/>
  <c r="W8" i="3"/>
  <c r="S8" i="3"/>
  <c r="B75" i="9"/>
  <c r="C114" i="6"/>
  <c r="D114" i="6" s="1"/>
  <c r="AM7" i="3" l="1"/>
  <c r="AJ9" i="3" s="1"/>
  <c r="AM19" i="3" s="1"/>
  <c r="F75" i="1" s="1"/>
  <c r="T8" i="3"/>
  <c r="AA8" i="3" s="1"/>
  <c r="Y8" i="3"/>
  <c r="F76" i="1" s="1"/>
  <c r="C75" i="9"/>
  <c r="AB8" i="3"/>
  <c r="AC8" i="3" s="1"/>
  <c r="AD8" i="3"/>
  <c r="AE8" i="3" s="1"/>
  <c r="E114" i="6"/>
  <c r="G114" i="6" s="1"/>
  <c r="D75" i="9" l="1"/>
  <c r="B115" i="6"/>
  <c r="E75" i="9" l="1"/>
  <c r="C115" i="6"/>
  <c r="D115" i="6" s="1"/>
  <c r="G75" i="9" l="1"/>
  <c r="E115" i="6"/>
  <c r="G115" i="6" s="1"/>
  <c r="B76" i="9" l="1"/>
  <c r="B116" i="6"/>
  <c r="C76" i="9" l="1"/>
  <c r="C116" i="6"/>
  <c r="D116" i="6" s="1"/>
  <c r="D76" i="9" l="1"/>
  <c r="E116" i="6"/>
  <c r="G116" i="6" s="1"/>
  <c r="E76" i="9" l="1"/>
  <c r="B117" i="6"/>
  <c r="G76" i="9" l="1"/>
  <c r="C117" i="6"/>
  <c r="D117" i="6" s="1"/>
  <c r="B77" i="9" l="1"/>
  <c r="E117" i="6"/>
  <c r="G117" i="6" s="1"/>
  <c r="C77" i="9" l="1"/>
  <c r="B118" i="6"/>
  <c r="D77" i="9" l="1"/>
  <c r="C118" i="6"/>
  <c r="D118" i="6" s="1"/>
  <c r="E77" i="9" l="1"/>
  <c r="E118" i="6"/>
  <c r="G118" i="6" s="1"/>
  <c r="G77" i="9" l="1"/>
  <c r="B119" i="6"/>
  <c r="B78" i="9" l="1"/>
  <c r="C119" i="6"/>
  <c r="D119" i="6" s="1"/>
  <c r="C78" i="9" l="1"/>
  <c r="E119" i="6"/>
  <c r="G119" i="6" s="1"/>
  <c r="D78" i="9" l="1"/>
  <c r="B120" i="6"/>
  <c r="E78" i="9" l="1"/>
  <c r="C120" i="6"/>
  <c r="D120" i="6" s="1"/>
  <c r="G78" i="9" l="1"/>
  <c r="E120" i="6"/>
  <c r="G120" i="6" s="1"/>
  <c r="B79" i="9" l="1"/>
  <c r="B121" i="6"/>
  <c r="C79" i="9" l="1"/>
  <c r="C121" i="6"/>
  <c r="D121" i="6" s="1"/>
  <c r="D79" i="9" l="1"/>
  <c r="E121" i="6"/>
  <c r="G121" i="6" s="1"/>
  <c r="E79" i="9" l="1"/>
  <c r="B122" i="6"/>
  <c r="G79" i="9" l="1"/>
  <c r="C122" i="6"/>
  <c r="D122" i="6" s="1"/>
  <c r="B80" i="9" l="1"/>
  <c r="H122" i="6"/>
  <c r="E122" i="6"/>
  <c r="G122" i="6" s="1"/>
  <c r="C80" i="9" l="1"/>
  <c r="R12" i="3"/>
  <c r="B123" i="6"/>
  <c r="D80" i="9" l="1"/>
  <c r="C123" i="6"/>
  <c r="D123" i="6" s="1"/>
  <c r="E80" i="9" l="1"/>
  <c r="E123" i="6"/>
  <c r="G123" i="6" s="1"/>
  <c r="G80" i="9" l="1"/>
  <c r="B124" i="6"/>
  <c r="B81" i="9" l="1"/>
  <c r="C124" i="6"/>
  <c r="D124" i="6" s="1"/>
  <c r="C81" i="9" l="1"/>
  <c r="E124" i="6"/>
  <c r="G124" i="6" s="1"/>
  <c r="D81" i="9" l="1"/>
  <c r="B125" i="6"/>
  <c r="E81" i="9" l="1"/>
  <c r="C125" i="6"/>
  <c r="D125" i="6" s="1"/>
  <c r="G81" i="9" l="1"/>
  <c r="E125" i="6"/>
  <c r="G125" i="6" s="1"/>
  <c r="B82" i="9" l="1"/>
  <c r="B126" i="6"/>
  <c r="C82" i="9" l="1"/>
  <c r="C126" i="6"/>
  <c r="D126" i="6" s="1"/>
  <c r="D82" i="9" l="1"/>
  <c r="E126" i="6"/>
  <c r="G126" i="6" s="1"/>
  <c r="E82" i="9" l="1"/>
  <c r="B127" i="6"/>
  <c r="G82" i="9" l="1"/>
  <c r="C127" i="6"/>
  <c r="D127" i="6" s="1"/>
  <c r="B83" i="9" l="1"/>
  <c r="E127" i="6"/>
  <c r="G127" i="6" s="1"/>
  <c r="C83" i="9" l="1"/>
  <c r="B128" i="6"/>
  <c r="D83" i="9" l="1"/>
  <c r="C128" i="6"/>
  <c r="D128" i="6" s="1"/>
  <c r="E83" i="9" l="1"/>
  <c r="E128" i="6"/>
  <c r="G128" i="6" s="1"/>
  <c r="G83" i="9" l="1"/>
  <c r="B129" i="6"/>
  <c r="B84" i="9" l="1"/>
  <c r="C129" i="6"/>
  <c r="D129" i="6" s="1"/>
  <c r="C84" i="9" l="1"/>
  <c r="E129" i="6"/>
  <c r="G129" i="6" s="1"/>
  <c r="D84" i="9" l="1"/>
  <c r="B130" i="6"/>
  <c r="E84" i="9" l="1"/>
  <c r="C130" i="6"/>
  <c r="D130" i="6" s="1"/>
  <c r="G84" i="9" l="1"/>
  <c r="E130" i="6"/>
  <c r="G130" i="6" s="1"/>
  <c r="B85" i="9" l="1"/>
  <c r="B131" i="6"/>
  <c r="C85" i="9" l="1"/>
  <c r="C131" i="6"/>
  <c r="D131" i="6" s="1"/>
  <c r="D85" i="9" l="1"/>
  <c r="E131" i="6"/>
  <c r="G131" i="6" s="1"/>
  <c r="E85" i="9" l="1"/>
  <c r="B132" i="6"/>
  <c r="G85" i="9" l="1"/>
  <c r="C132" i="6"/>
  <c r="D132" i="6" s="1"/>
  <c r="B86" i="9" l="1"/>
  <c r="E132" i="6"/>
  <c r="G132" i="6" s="1"/>
  <c r="C86" i="9" l="1"/>
  <c r="B133" i="6"/>
  <c r="D86" i="9" l="1"/>
  <c r="C133" i="6"/>
  <c r="D133" i="6" s="1"/>
  <c r="H86" i="9" l="1"/>
  <c r="E86" i="9"/>
  <c r="E133" i="6"/>
  <c r="G133" i="6" s="1"/>
  <c r="I9" i="3" l="1"/>
  <c r="G86" i="9"/>
  <c r="B134" i="6"/>
  <c r="S9" i="3" l="1"/>
  <c r="T9" i="3" s="1"/>
  <c r="B87" i="9"/>
  <c r="J9" i="3"/>
  <c r="W9" i="3"/>
  <c r="C134" i="6"/>
  <c r="D134" i="6" s="1"/>
  <c r="Y9" i="3" l="1"/>
  <c r="AA9" i="3"/>
  <c r="C87" i="9"/>
  <c r="AB9" i="3"/>
  <c r="AC9" i="3" s="1"/>
  <c r="AD9" i="3"/>
  <c r="AE9" i="3" s="1"/>
  <c r="H134" i="6"/>
  <c r="E134" i="6"/>
  <c r="G134" i="6" s="1"/>
  <c r="D87" i="9" l="1"/>
  <c r="G72" i="1"/>
  <c r="R13" i="3"/>
  <c r="B135" i="6"/>
  <c r="E87" i="9" l="1"/>
  <c r="C135" i="6"/>
  <c r="D135" i="6" s="1"/>
  <c r="G73" i="1"/>
  <c r="G71" i="1"/>
  <c r="G87" i="9" l="1"/>
  <c r="E135" i="6"/>
  <c r="G135" i="6" s="1"/>
  <c r="B88" i="9" l="1"/>
  <c r="B136" i="6"/>
  <c r="C88" i="9" l="1"/>
  <c r="C136" i="6"/>
  <c r="D136" i="6" s="1"/>
  <c r="D88" i="9" l="1"/>
  <c r="E136" i="6"/>
  <c r="G136" i="6" s="1"/>
  <c r="E88" i="9" l="1"/>
  <c r="B137" i="6"/>
  <c r="G88" i="9" l="1"/>
  <c r="C137" i="6"/>
  <c r="D137" i="6" s="1"/>
  <c r="B89" i="9" l="1"/>
  <c r="E137" i="6"/>
  <c r="G137" i="6" s="1"/>
  <c r="C89" i="9" l="1"/>
  <c r="B138" i="6"/>
  <c r="D89" i="9" l="1"/>
  <c r="C138" i="6"/>
  <c r="D138" i="6" s="1"/>
  <c r="E89" i="9" l="1"/>
  <c r="E138" i="6"/>
  <c r="G138" i="6" s="1"/>
  <c r="G89" i="9" l="1"/>
  <c r="B139" i="6"/>
  <c r="B90" i="9" l="1"/>
  <c r="C139" i="6"/>
  <c r="D139" i="6" s="1"/>
  <c r="C90" i="9" l="1"/>
  <c r="E139" i="6"/>
  <c r="G139" i="6" s="1"/>
  <c r="D90" i="9" l="1"/>
  <c r="B140" i="6"/>
  <c r="E90" i="9" l="1"/>
  <c r="C140" i="6"/>
  <c r="D140" i="6" s="1"/>
  <c r="G90" i="9" l="1"/>
  <c r="E140" i="6"/>
  <c r="G140" i="6" s="1"/>
  <c r="B91" i="9" l="1"/>
  <c r="B141" i="6"/>
  <c r="C91" i="9" l="1"/>
  <c r="C141" i="6"/>
  <c r="D141" i="6" s="1"/>
  <c r="D91" i="9" l="1"/>
  <c r="E141" i="6"/>
  <c r="G141" i="6" s="1"/>
  <c r="E91" i="9" l="1"/>
  <c r="B142" i="6"/>
  <c r="G91" i="9" l="1"/>
  <c r="C142" i="6"/>
  <c r="D142" i="6" s="1"/>
  <c r="B92" i="9" l="1"/>
  <c r="E142" i="6"/>
  <c r="G142" i="6" s="1"/>
  <c r="C92" i="9" l="1"/>
  <c r="B143" i="6"/>
  <c r="D92" i="9" l="1"/>
  <c r="C143" i="6"/>
  <c r="D143" i="6" s="1"/>
  <c r="E92" i="9" l="1"/>
  <c r="E143" i="6"/>
  <c r="G143" i="6" s="1"/>
  <c r="G92" i="9" l="1"/>
  <c r="B144" i="6"/>
  <c r="B93" i="9" l="1"/>
  <c r="C144" i="6"/>
  <c r="D144" i="6" s="1"/>
  <c r="C93" i="9" l="1"/>
  <c r="E144" i="6"/>
  <c r="G144" i="6" s="1"/>
  <c r="D93" i="9" l="1"/>
  <c r="B145" i="6"/>
  <c r="E93" i="9" l="1"/>
  <c r="C145" i="6"/>
  <c r="D145" i="6" s="1"/>
  <c r="G93" i="9" l="1"/>
  <c r="E145" i="6"/>
  <c r="G145" i="6" s="1"/>
  <c r="B94" i="9" l="1"/>
  <c r="B146" i="6"/>
  <c r="C94" i="9" l="1"/>
  <c r="C146" i="6"/>
  <c r="D146" i="6" s="1"/>
  <c r="D94" i="9" l="1"/>
  <c r="H146" i="6"/>
  <c r="E146" i="6"/>
  <c r="G146" i="6" s="1"/>
  <c r="E94" i="9" l="1"/>
  <c r="R14" i="3"/>
  <c r="B147" i="6"/>
  <c r="G94" i="9" l="1"/>
  <c r="C147" i="6"/>
  <c r="D147" i="6" s="1"/>
  <c r="B95" i="9" l="1"/>
  <c r="E147" i="6"/>
  <c r="G147" i="6" s="1"/>
  <c r="C95" i="9" l="1"/>
  <c r="B148" i="6"/>
  <c r="D95" i="9" l="1"/>
  <c r="C148" i="6"/>
  <c r="D148" i="6" s="1"/>
  <c r="E95" i="9" l="1"/>
  <c r="E148" i="6"/>
  <c r="G148" i="6" s="1"/>
  <c r="G95" i="9" l="1"/>
  <c r="B149" i="6"/>
  <c r="B96" i="9" l="1"/>
  <c r="C149" i="6"/>
  <c r="D149" i="6" s="1"/>
  <c r="C96" i="9" l="1"/>
  <c r="E149" i="6"/>
  <c r="G149" i="6" s="1"/>
  <c r="D96" i="9" l="1"/>
  <c r="B150" i="6"/>
  <c r="E96" i="9" l="1"/>
  <c r="C150" i="6"/>
  <c r="D150" i="6" s="1"/>
  <c r="G96" i="9" l="1"/>
  <c r="E150" i="6"/>
  <c r="G150" i="6" s="1"/>
  <c r="B97" i="9" l="1"/>
  <c r="B151" i="6"/>
  <c r="C97" i="9" l="1"/>
  <c r="C151" i="6"/>
  <c r="D151" i="6" s="1"/>
  <c r="D97" i="9" l="1"/>
  <c r="E151" i="6"/>
  <c r="G151" i="6" s="1"/>
  <c r="E97" i="9" l="1"/>
  <c r="B152" i="6"/>
  <c r="G97" i="9" l="1"/>
  <c r="C152" i="6"/>
  <c r="D152" i="6" s="1"/>
  <c r="B98" i="9" l="1"/>
  <c r="E152" i="6"/>
  <c r="G152" i="6" s="1"/>
  <c r="C98" i="9" l="1"/>
  <c r="B153" i="6"/>
  <c r="D98" i="9" l="1"/>
  <c r="C153" i="6"/>
  <c r="D153" i="6" s="1"/>
  <c r="H98" i="9" l="1"/>
  <c r="E98" i="9"/>
  <c r="E153" i="6"/>
  <c r="G153" i="6" s="1"/>
  <c r="I10" i="3" l="1"/>
  <c r="G98" i="9"/>
  <c r="B154" i="6"/>
  <c r="S10" i="3" l="1"/>
  <c r="T10" i="3" s="1"/>
  <c r="B99" i="9"/>
  <c r="J10" i="3"/>
  <c r="W10" i="3"/>
  <c r="C154" i="6"/>
  <c r="D154" i="6" s="1"/>
  <c r="C99" i="9" l="1"/>
  <c r="AD10" i="3"/>
  <c r="AE10" i="3" s="1"/>
  <c r="AB10" i="3"/>
  <c r="AC10" i="3" s="1"/>
  <c r="AA10" i="3"/>
  <c r="Y10" i="3"/>
  <c r="E154" i="6"/>
  <c r="G154" i="6" s="1"/>
  <c r="D99" i="9" l="1"/>
  <c r="B155" i="6"/>
  <c r="E99" i="9" l="1"/>
  <c r="C155" i="6"/>
  <c r="D155" i="6" s="1"/>
  <c r="G99" i="9" l="1"/>
  <c r="E155" i="6"/>
  <c r="G155" i="6" s="1"/>
  <c r="B100" i="9" l="1"/>
  <c r="B156" i="6"/>
  <c r="C100" i="9" l="1"/>
  <c r="C156" i="6"/>
  <c r="D156" i="6" s="1"/>
  <c r="D100" i="9" l="1"/>
  <c r="E156" i="6"/>
  <c r="G156" i="6" s="1"/>
  <c r="E100" i="9" l="1"/>
  <c r="B157" i="6"/>
  <c r="G100" i="9" l="1"/>
  <c r="C157" i="6"/>
  <c r="D157" i="6" s="1"/>
  <c r="B101" i="9" l="1"/>
  <c r="E157" i="6"/>
  <c r="G157" i="6" s="1"/>
  <c r="C101" i="9" l="1"/>
  <c r="B158" i="6"/>
  <c r="D101" i="9" l="1"/>
  <c r="C158" i="6"/>
  <c r="D158" i="6" s="1"/>
  <c r="E101" i="9" l="1"/>
  <c r="H158" i="6"/>
  <c r="E158" i="6"/>
  <c r="G158" i="6" s="1"/>
  <c r="G101" i="9" l="1"/>
  <c r="R15" i="3"/>
  <c r="B159" i="6"/>
  <c r="B102" i="9" l="1"/>
  <c r="C159" i="6"/>
  <c r="D159" i="6" s="1"/>
  <c r="C102" i="9" l="1"/>
  <c r="E159" i="6"/>
  <c r="G159" i="6" s="1"/>
  <c r="D102" i="9" l="1"/>
  <c r="B160" i="6"/>
  <c r="E102" i="9" l="1"/>
  <c r="C160" i="6"/>
  <c r="D160" i="6" s="1"/>
  <c r="G102" i="9" l="1"/>
  <c r="E160" i="6"/>
  <c r="G160" i="6" s="1"/>
  <c r="B103" i="9" l="1"/>
  <c r="B161" i="6"/>
  <c r="C103" i="9" l="1"/>
  <c r="C161" i="6"/>
  <c r="D161" i="6" s="1"/>
  <c r="D103" i="9" l="1"/>
  <c r="E161" i="6"/>
  <c r="G161" i="6" s="1"/>
  <c r="E103" i="9" l="1"/>
  <c r="B162" i="6"/>
  <c r="G103" i="9" l="1"/>
  <c r="C162" i="6"/>
  <c r="D162" i="6" s="1"/>
  <c r="B104" i="9" l="1"/>
  <c r="E162" i="6"/>
  <c r="G162" i="6" s="1"/>
  <c r="C104" i="9" l="1"/>
  <c r="B163" i="6"/>
  <c r="D104" i="9" l="1"/>
  <c r="C163" i="6"/>
  <c r="D163" i="6" s="1"/>
  <c r="E104" i="9" l="1"/>
  <c r="E163" i="6"/>
  <c r="G163" i="6" s="1"/>
  <c r="G104" i="9" l="1"/>
  <c r="B164" i="6"/>
  <c r="B105" i="9" l="1"/>
  <c r="C164" i="6"/>
  <c r="D164" i="6" s="1"/>
  <c r="C105" i="9" l="1"/>
  <c r="E164" i="6"/>
  <c r="G164" i="6" s="1"/>
  <c r="D105" i="9" l="1"/>
  <c r="B165" i="6"/>
  <c r="E105" i="9" l="1"/>
  <c r="C165" i="6"/>
  <c r="D165" i="6" s="1"/>
  <c r="G105" i="9" l="1"/>
  <c r="E165" i="6"/>
  <c r="G165" i="6" s="1"/>
  <c r="B106" i="9" l="1"/>
  <c r="B166" i="6"/>
  <c r="C106" i="9" l="1"/>
  <c r="C166" i="6"/>
  <c r="D166" i="6" s="1"/>
  <c r="D106" i="9" l="1"/>
  <c r="E166" i="6"/>
  <c r="G166" i="6" s="1"/>
  <c r="E106" i="9" l="1"/>
  <c r="B167" i="6"/>
  <c r="G106" i="9" l="1"/>
  <c r="C167" i="6"/>
  <c r="D167" i="6" s="1"/>
  <c r="B107" i="9" l="1"/>
  <c r="E167" i="6"/>
  <c r="G167" i="6" s="1"/>
  <c r="C107" i="9" l="1"/>
  <c r="B168" i="6"/>
  <c r="D107" i="9" l="1"/>
  <c r="C168" i="6"/>
  <c r="D168" i="6" s="1"/>
  <c r="E107" i="9" l="1"/>
  <c r="E168" i="6"/>
  <c r="G168" i="6" s="1"/>
  <c r="G107" i="9" l="1"/>
  <c r="B169" i="6"/>
  <c r="B108" i="9" l="1"/>
  <c r="C169" i="6"/>
  <c r="D169" i="6" s="1"/>
  <c r="C108" i="9" l="1"/>
  <c r="E169" i="6"/>
  <c r="G169" i="6" s="1"/>
  <c r="D108" i="9" l="1"/>
  <c r="B170" i="6"/>
  <c r="E108" i="9" l="1"/>
  <c r="C170" i="6"/>
  <c r="D170" i="6" s="1"/>
  <c r="G108" i="9" l="1"/>
  <c r="H170" i="6"/>
  <c r="E170" i="6"/>
  <c r="G170" i="6" s="1"/>
  <c r="B109" i="9" l="1"/>
  <c r="R16" i="3"/>
  <c r="B171" i="6"/>
  <c r="C109" i="9" l="1"/>
  <c r="C171" i="6"/>
  <c r="D171" i="6" s="1"/>
  <c r="D109" i="9" l="1"/>
  <c r="E171" i="6"/>
  <c r="G171" i="6" s="1"/>
  <c r="E109" i="9" l="1"/>
  <c r="B172" i="6"/>
  <c r="G109" i="9" l="1"/>
  <c r="C172" i="6"/>
  <c r="D172" i="6" s="1"/>
  <c r="B110" i="9" l="1"/>
  <c r="E172" i="6"/>
  <c r="G172" i="6" s="1"/>
  <c r="C110" i="9" l="1"/>
  <c r="B173" i="6"/>
  <c r="D110" i="9" l="1"/>
  <c r="C173" i="6"/>
  <c r="D173" i="6" s="1"/>
  <c r="H110" i="9" l="1"/>
  <c r="E110" i="9"/>
  <c r="E173" i="6"/>
  <c r="G173" i="6" s="1"/>
  <c r="I11" i="3" l="1"/>
  <c r="G110" i="9"/>
  <c r="B174" i="6"/>
  <c r="W11" i="3" l="1"/>
  <c r="J11" i="3"/>
  <c r="S11" i="3"/>
  <c r="T11" i="3" s="1"/>
  <c r="B111" i="9"/>
  <c r="C174" i="6"/>
  <c r="D174" i="6" s="1"/>
  <c r="C111" i="9" l="1"/>
  <c r="AB11" i="3"/>
  <c r="AC11" i="3" s="1"/>
  <c r="AD11" i="3"/>
  <c r="AE11" i="3" s="1"/>
  <c r="AA11" i="3"/>
  <c r="Y11" i="3"/>
  <c r="E174" i="6"/>
  <c r="G174" i="6" s="1"/>
  <c r="D111" i="9" l="1"/>
  <c r="B175" i="6"/>
  <c r="E111" i="9" l="1"/>
  <c r="C175" i="6"/>
  <c r="D175" i="6" s="1"/>
  <c r="G111" i="9" l="1"/>
  <c r="E175" i="6"/>
  <c r="G175" i="6" s="1"/>
  <c r="B112" i="9" l="1"/>
  <c r="B176" i="6"/>
  <c r="C112" i="9" l="1"/>
  <c r="C176" i="6"/>
  <c r="D176" i="6" s="1"/>
  <c r="D112" i="9" l="1"/>
  <c r="E176" i="6"/>
  <c r="G176" i="6"/>
  <c r="E112" i="9" l="1"/>
  <c r="B177" i="6"/>
  <c r="G112" i="9" l="1"/>
  <c r="C177" i="6"/>
  <c r="D177" i="6" s="1"/>
  <c r="B113" i="9" l="1"/>
  <c r="E177" i="6"/>
  <c r="G177" i="6" s="1"/>
  <c r="C113" i="9" l="1"/>
  <c r="B178" i="6"/>
  <c r="D113" i="9" l="1"/>
  <c r="C178" i="6"/>
  <c r="D178" i="6" s="1"/>
  <c r="E113" i="9" l="1"/>
  <c r="E178" i="6"/>
  <c r="G178" i="6" s="1"/>
  <c r="G113" i="9" l="1"/>
  <c r="B179" i="6"/>
  <c r="B114" i="9" l="1"/>
  <c r="C179" i="6"/>
  <c r="D179" i="6" s="1"/>
  <c r="C114" i="9" l="1"/>
  <c r="E179" i="6"/>
  <c r="G179" i="6" s="1"/>
  <c r="D114" i="9" l="1"/>
  <c r="B180" i="6"/>
  <c r="E114" i="9" l="1"/>
  <c r="C180" i="6"/>
  <c r="D180" i="6" s="1"/>
  <c r="G114" i="9" l="1"/>
  <c r="E180" i="6"/>
  <c r="G180" i="6" s="1"/>
  <c r="B115" i="9" l="1"/>
  <c r="B181" i="6"/>
  <c r="C115" i="9" l="1"/>
  <c r="C181" i="6"/>
  <c r="D181" i="6" s="1"/>
  <c r="D115" i="9" l="1"/>
  <c r="E181" i="6"/>
  <c r="G181" i="6" s="1"/>
  <c r="E115" i="9" l="1"/>
  <c r="B182" i="6"/>
  <c r="G115" i="9" l="1"/>
  <c r="C182" i="6"/>
  <c r="D182" i="6" s="1"/>
  <c r="B116" i="9" l="1"/>
  <c r="H182" i="6"/>
  <c r="E182" i="6"/>
  <c r="G182" i="6" s="1"/>
  <c r="C116" i="9" l="1"/>
  <c r="R17" i="3"/>
  <c r="B183" i="6"/>
  <c r="D116" i="9" l="1"/>
  <c r="C183" i="6"/>
  <c r="D183" i="6" s="1"/>
  <c r="E116" i="9" l="1"/>
  <c r="E183" i="6"/>
  <c r="G183" i="6" s="1"/>
  <c r="G116" i="9" l="1"/>
  <c r="B184" i="6"/>
  <c r="B117" i="9" l="1"/>
  <c r="C184" i="6"/>
  <c r="D184" i="6" s="1"/>
  <c r="C117" i="9" l="1"/>
  <c r="E184" i="6"/>
  <c r="G184" i="6" s="1"/>
  <c r="D117" i="9" l="1"/>
  <c r="B185" i="6"/>
  <c r="E117" i="9" l="1"/>
  <c r="C185" i="6"/>
  <c r="D185" i="6" s="1"/>
  <c r="G117" i="9" l="1"/>
  <c r="E185" i="6"/>
  <c r="G185" i="6" s="1"/>
  <c r="B118" i="9" l="1"/>
  <c r="B186" i="6"/>
  <c r="C118" i="9" l="1"/>
  <c r="C186" i="6"/>
  <c r="D186" i="6" s="1"/>
  <c r="D118" i="9" l="1"/>
  <c r="E186" i="6"/>
  <c r="G186" i="6" s="1"/>
  <c r="E118" i="9" l="1"/>
  <c r="B187" i="6"/>
  <c r="G118" i="9" l="1"/>
  <c r="C187" i="6"/>
  <c r="D187" i="6" s="1"/>
  <c r="B119" i="9" l="1"/>
  <c r="E187" i="6"/>
  <c r="G187" i="6" s="1"/>
  <c r="C119" i="9" l="1"/>
  <c r="B188" i="6"/>
  <c r="D119" i="9" l="1"/>
  <c r="C188" i="6"/>
  <c r="D188" i="6" s="1"/>
  <c r="E119" i="9" l="1"/>
  <c r="E188" i="6"/>
  <c r="G188" i="6" s="1"/>
  <c r="G119" i="9" l="1"/>
  <c r="B189" i="6"/>
  <c r="B120" i="9" l="1"/>
  <c r="C189" i="6"/>
  <c r="D189" i="6" s="1"/>
  <c r="C120" i="9" l="1"/>
  <c r="E189" i="6"/>
  <c r="G189" i="6" s="1"/>
  <c r="D120" i="9" l="1"/>
  <c r="B190" i="6"/>
  <c r="E120" i="9" l="1"/>
  <c r="C190" i="6"/>
  <c r="D190" i="6" s="1"/>
  <c r="G120" i="9" l="1"/>
  <c r="E190" i="6"/>
  <c r="G190" i="6" s="1"/>
  <c r="B121" i="9" l="1"/>
  <c r="B191" i="6"/>
  <c r="C121" i="9" l="1"/>
  <c r="C191" i="6"/>
  <c r="D191" i="6" s="1"/>
  <c r="D121" i="9" l="1"/>
  <c r="E191" i="6"/>
  <c r="G191" i="6" s="1"/>
  <c r="E121" i="9" l="1"/>
  <c r="B192" i="6"/>
  <c r="G121" i="9" l="1"/>
  <c r="C192" i="6"/>
  <c r="D192" i="6" s="1"/>
  <c r="B122" i="9" l="1"/>
  <c r="E192" i="6"/>
  <c r="G192" i="6" s="1"/>
  <c r="C122" i="9" l="1"/>
  <c r="B193" i="6"/>
  <c r="D122" i="9" l="1"/>
  <c r="C193" i="6"/>
  <c r="D193" i="6" s="1"/>
  <c r="H122" i="9" l="1"/>
  <c r="E122" i="9"/>
  <c r="E193" i="6"/>
  <c r="G193" i="6" s="1"/>
  <c r="G122" i="9" l="1"/>
  <c r="I12" i="3"/>
  <c r="B194" i="6"/>
  <c r="W12" i="3" l="1"/>
  <c r="J12" i="3"/>
  <c r="S12" i="3"/>
  <c r="T12" i="3" s="1"/>
  <c r="B123" i="9"/>
  <c r="C194" i="6"/>
  <c r="D194" i="6" s="1"/>
  <c r="AB12" i="3" l="1"/>
  <c r="AC12" i="3" s="1"/>
  <c r="AD12" i="3"/>
  <c r="AE12" i="3" s="1"/>
  <c r="C123" i="9"/>
  <c r="Y12" i="3"/>
  <c r="AA12" i="3"/>
  <c r="H194" i="6"/>
  <c r="E194" i="6"/>
  <c r="G194" i="6" s="1"/>
  <c r="D123" i="9" l="1"/>
  <c r="H72" i="1"/>
  <c r="R18" i="3"/>
  <c r="B195" i="6"/>
  <c r="E123" i="9" l="1"/>
  <c r="C195" i="6"/>
  <c r="D195" i="6" s="1"/>
  <c r="H71" i="1"/>
  <c r="H73" i="1"/>
  <c r="G123" i="9" l="1"/>
  <c r="E195" i="6"/>
  <c r="G195" i="6" s="1"/>
  <c r="B124" i="9" l="1"/>
  <c r="B196" i="6"/>
  <c r="C124" i="9" l="1"/>
  <c r="C196" i="6"/>
  <c r="D196" i="6" s="1"/>
  <c r="D124" i="9" l="1"/>
  <c r="E196" i="6"/>
  <c r="G196" i="6" s="1"/>
  <c r="E124" i="9" l="1"/>
  <c r="B197" i="6"/>
  <c r="G124" i="9" l="1"/>
  <c r="C197" i="6"/>
  <c r="D197" i="6" s="1"/>
  <c r="B125" i="9" l="1"/>
  <c r="E197" i="6"/>
  <c r="G197" i="6" s="1"/>
  <c r="C125" i="9" l="1"/>
  <c r="B198" i="6"/>
  <c r="D125" i="9" l="1"/>
  <c r="C198" i="6"/>
  <c r="D198" i="6" s="1"/>
  <c r="E125" i="9" l="1"/>
  <c r="E198" i="6"/>
  <c r="G198" i="6" s="1"/>
  <c r="G125" i="9" l="1"/>
  <c r="B199" i="6"/>
  <c r="B126" i="9" l="1"/>
  <c r="C199" i="6"/>
  <c r="D199" i="6" s="1"/>
  <c r="C126" i="9" l="1"/>
  <c r="E199" i="6"/>
  <c r="G199" i="6" s="1"/>
  <c r="D126" i="9" l="1"/>
  <c r="B200" i="6"/>
  <c r="E126" i="9" l="1"/>
  <c r="C200" i="6"/>
  <c r="D200" i="6" s="1"/>
  <c r="G126" i="9" l="1"/>
  <c r="E200" i="6"/>
  <c r="G200" i="6" s="1"/>
  <c r="B127" i="9" l="1"/>
  <c r="B201" i="6"/>
  <c r="C127" i="9" l="1"/>
  <c r="C201" i="6"/>
  <c r="D201" i="6" s="1"/>
  <c r="D127" i="9" l="1"/>
  <c r="E201" i="6"/>
  <c r="G201" i="6" s="1"/>
  <c r="E127" i="9" l="1"/>
  <c r="B202" i="6"/>
  <c r="G127" i="9" l="1"/>
  <c r="C202" i="6"/>
  <c r="D202" i="6" s="1"/>
  <c r="B128" i="9" l="1"/>
  <c r="E202" i="6"/>
  <c r="G202" i="6" s="1"/>
  <c r="C128" i="9" l="1"/>
  <c r="B203" i="6"/>
  <c r="D128" i="9" l="1"/>
  <c r="C203" i="6"/>
  <c r="D203" i="6" s="1"/>
  <c r="E128" i="9" l="1"/>
  <c r="E203" i="6"/>
  <c r="G203" i="6" s="1"/>
  <c r="G128" i="9" l="1"/>
  <c r="B204" i="6"/>
  <c r="B129" i="9" l="1"/>
  <c r="C204" i="6"/>
  <c r="D204" i="6" s="1"/>
  <c r="C129" i="9" l="1"/>
  <c r="E204" i="6"/>
  <c r="G204" i="6" s="1"/>
  <c r="D129" i="9" l="1"/>
  <c r="B205" i="6"/>
  <c r="E129" i="9" l="1"/>
  <c r="C205" i="6"/>
  <c r="D205" i="6" s="1"/>
  <c r="G129" i="9" l="1"/>
  <c r="E205" i="6"/>
  <c r="G205" i="6" s="1"/>
  <c r="B130" i="9" l="1"/>
  <c r="B206" i="6"/>
  <c r="C130" i="9" l="1"/>
  <c r="C206" i="6"/>
  <c r="D206" i="6" s="1"/>
  <c r="D130" i="9" l="1"/>
  <c r="H206" i="6"/>
  <c r="E206" i="6"/>
  <c r="G206" i="6" s="1"/>
  <c r="E130" i="9" l="1"/>
  <c r="R19" i="3"/>
  <c r="B207" i="6"/>
  <c r="G130" i="9" l="1"/>
  <c r="C207" i="6"/>
  <c r="D207" i="6" s="1"/>
  <c r="B131" i="9" l="1"/>
  <c r="E207" i="6"/>
  <c r="G207" i="6" s="1"/>
  <c r="C131" i="9" l="1"/>
  <c r="B208" i="6"/>
  <c r="D131" i="9" l="1"/>
  <c r="C208" i="6"/>
  <c r="D208" i="6" s="1"/>
  <c r="E131" i="9" l="1"/>
  <c r="E208" i="6"/>
  <c r="G208" i="6" s="1"/>
  <c r="G131" i="9" l="1"/>
  <c r="B209" i="6"/>
  <c r="B132" i="9" l="1"/>
  <c r="C209" i="6"/>
  <c r="D209" i="6" s="1"/>
  <c r="C132" i="9" l="1"/>
  <c r="E209" i="6"/>
  <c r="G209" i="6" s="1"/>
  <c r="D132" i="9" l="1"/>
  <c r="B210" i="6"/>
  <c r="E132" i="9" l="1"/>
  <c r="C210" i="6"/>
  <c r="D210" i="6" s="1"/>
  <c r="G132" i="9" l="1"/>
  <c r="E210" i="6"/>
  <c r="G210" i="6" s="1"/>
  <c r="B133" i="9" l="1"/>
  <c r="B211" i="6"/>
  <c r="C133" i="9" l="1"/>
  <c r="C211" i="6"/>
  <c r="D211" i="6" s="1"/>
  <c r="D133" i="9" l="1"/>
  <c r="E211" i="6"/>
  <c r="G211" i="6" s="1"/>
  <c r="E133" i="9" l="1"/>
  <c r="B212" i="6"/>
  <c r="G133" i="9" l="1"/>
  <c r="C212" i="6"/>
  <c r="D212" i="6" s="1"/>
  <c r="B134" i="9" l="1"/>
  <c r="E212" i="6"/>
  <c r="G212" i="6" s="1"/>
  <c r="C134" i="9" l="1"/>
  <c r="B213" i="6"/>
  <c r="D134" i="9" l="1"/>
  <c r="C213" i="6"/>
  <c r="D213" i="6" s="1"/>
  <c r="H134" i="9" l="1"/>
  <c r="E134" i="9"/>
  <c r="E213" i="6"/>
  <c r="G213" i="6" s="1"/>
  <c r="I13" i="3" l="1"/>
  <c r="G134" i="9"/>
  <c r="B214" i="6"/>
  <c r="S13" i="3" l="1"/>
  <c r="B135" i="9"/>
  <c r="J13" i="3"/>
  <c r="W13" i="3"/>
  <c r="C214" i="6"/>
  <c r="D214" i="6" s="1"/>
  <c r="C135" i="9" l="1"/>
  <c r="AD13" i="3"/>
  <c r="AE13" i="3" s="1"/>
  <c r="AB13" i="3"/>
  <c r="AC13" i="3" s="1"/>
  <c r="Y13" i="3"/>
  <c r="G76" i="1" s="1"/>
  <c r="T13" i="3"/>
  <c r="AA13" i="3" s="1"/>
  <c r="AQ7" i="3"/>
  <c r="AN14" i="3" s="1"/>
  <c r="E214" i="6"/>
  <c r="G214" i="6" s="1"/>
  <c r="D135" i="9" l="1"/>
  <c r="AQ21" i="3"/>
  <c r="AM21" i="3"/>
  <c r="AQ19" i="3"/>
  <c r="B215" i="6"/>
  <c r="E135" i="9" l="1"/>
  <c r="C215" i="6"/>
  <c r="D215" i="6" s="1"/>
  <c r="G135" i="9" l="1"/>
  <c r="E215" i="6"/>
  <c r="G215" i="6" s="1"/>
  <c r="B136" i="9" l="1"/>
  <c r="B216" i="6"/>
  <c r="C136" i="9" l="1"/>
  <c r="C216" i="6"/>
  <c r="D216" i="6" s="1"/>
  <c r="D136" i="9" l="1"/>
  <c r="E216" i="6"/>
  <c r="G216" i="6" s="1"/>
  <c r="E136" i="9" l="1"/>
  <c r="B217" i="6"/>
  <c r="G136" i="9" l="1"/>
  <c r="C217" i="6"/>
  <c r="D217" i="6" s="1"/>
  <c r="B137" i="9" l="1"/>
  <c r="E217" i="6"/>
  <c r="G217" i="6" s="1"/>
  <c r="C137" i="9" l="1"/>
  <c r="B218" i="6"/>
  <c r="D137" i="9" l="1"/>
  <c r="C218" i="6"/>
  <c r="D218" i="6" s="1"/>
  <c r="E137" i="9" l="1"/>
  <c r="G137" i="9" s="1"/>
  <c r="H218" i="6"/>
  <c r="E218" i="6"/>
  <c r="G218" i="6" s="1"/>
  <c r="B138" i="9" l="1"/>
  <c r="R20" i="3"/>
  <c r="B219" i="6"/>
  <c r="C138" i="9" l="1"/>
  <c r="C219" i="6"/>
  <c r="D219" i="6" s="1"/>
  <c r="D138" i="9" l="1"/>
  <c r="E219" i="6"/>
  <c r="G219" i="6" s="1"/>
  <c r="E138" i="9" l="1"/>
  <c r="B220" i="6"/>
  <c r="G138" i="9" l="1"/>
  <c r="C220" i="6"/>
  <c r="D220" i="6" s="1"/>
  <c r="B139" i="9" l="1"/>
  <c r="E220" i="6"/>
  <c r="G220" i="6" s="1"/>
  <c r="C139" i="9" l="1"/>
  <c r="B221" i="6"/>
  <c r="D139" i="9" l="1"/>
  <c r="C221" i="6"/>
  <c r="D221" i="6" s="1"/>
  <c r="E139" i="9" l="1"/>
  <c r="E221" i="6"/>
  <c r="G221" i="6" s="1"/>
  <c r="G139" i="9" l="1"/>
  <c r="B222" i="6"/>
  <c r="B140" i="9" l="1"/>
  <c r="C222" i="6"/>
  <c r="D222" i="6" s="1"/>
  <c r="C140" i="9" l="1"/>
  <c r="E222" i="6"/>
  <c r="G222" i="6" s="1"/>
  <c r="D140" i="9" l="1"/>
  <c r="B223" i="6"/>
  <c r="E140" i="9" l="1"/>
  <c r="G140" i="9"/>
  <c r="C223" i="6"/>
  <c r="D223" i="6" s="1"/>
  <c r="B141" i="9" l="1"/>
  <c r="E223" i="6"/>
  <c r="G223" i="6" s="1"/>
  <c r="C141" i="9" l="1"/>
  <c r="B224" i="6"/>
  <c r="D141" i="9" l="1"/>
  <c r="E141" i="9" s="1"/>
  <c r="C224" i="6"/>
  <c r="D224" i="6" s="1"/>
  <c r="G141" i="9" l="1"/>
  <c r="E224" i="6"/>
  <c r="G224" i="6" s="1"/>
  <c r="B142" i="9" l="1"/>
  <c r="C142" i="9"/>
  <c r="B225" i="6"/>
  <c r="D142" i="9" l="1"/>
  <c r="C225" i="6"/>
  <c r="D225" i="6" s="1"/>
  <c r="E142" i="9" l="1"/>
  <c r="E225" i="6"/>
  <c r="G225" i="6" s="1"/>
  <c r="G142" i="9" l="1"/>
  <c r="B226" i="6"/>
  <c r="B143" i="9" l="1"/>
  <c r="C143" i="9"/>
  <c r="C226" i="6"/>
  <c r="D226" i="6" s="1"/>
  <c r="D143" i="9" l="1"/>
  <c r="E143" i="9"/>
  <c r="E226" i="6"/>
  <c r="G226" i="6" s="1"/>
  <c r="G143" i="9" l="1"/>
  <c r="B227" i="6"/>
  <c r="B144" i="9" l="1"/>
  <c r="C227" i="6"/>
  <c r="D227" i="6" s="1"/>
  <c r="C144" i="9" l="1"/>
  <c r="D144" i="9"/>
  <c r="E227" i="6"/>
  <c r="G227" i="6" s="1"/>
  <c r="E144" i="9" l="1"/>
  <c r="G144" i="9"/>
  <c r="B228" i="6"/>
  <c r="B145" i="9" l="1"/>
  <c r="C228" i="6"/>
  <c r="D228" i="6" s="1"/>
  <c r="C145" i="9" l="1"/>
  <c r="E228" i="6"/>
  <c r="G228" i="6" s="1"/>
  <c r="D145" i="9" l="1"/>
  <c r="B229" i="6"/>
  <c r="E145" i="9" l="1"/>
  <c r="C229" i="6"/>
  <c r="D229" i="6" s="1"/>
  <c r="G145" i="9" l="1"/>
  <c r="E229" i="6"/>
  <c r="G229" i="6" s="1"/>
  <c r="B146" i="9" l="1"/>
  <c r="C146" i="9"/>
  <c r="B230" i="6"/>
  <c r="D146" i="9" l="1"/>
  <c r="C230" i="6"/>
  <c r="D230" i="6" s="1"/>
  <c r="H146" i="9" l="1"/>
  <c r="E146" i="9"/>
  <c r="H230" i="6"/>
  <c r="E230" i="6"/>
  <c r="G230" i="6" s="1"/>
  <c r="G146" i="9" l="1"/>
  <c r="I14" i="3"/>
  <c r="R21" i="3"/>
  <c r="B231" i="6"/>
  <c r="S14" i="3" l="1"/>
  <c r="T14" i="3" s="1"/>
  <c r="B147" i="9"/>
  <c r="C147" i="9" s="1"/>
  <c r="J14" i="3"/>
  <c r="W14" i="3"/>
  <c r="C231" i="6"/>
  <c r="D231" i="6" s="1"/>
  <c r="D147" i="9" l="1"/>
  <c r="Y14" i="3"/>
  <c r="AA14" i="3"/>
  <c r="AD14" i="3"/>
  <c r="AE14" i="3" s="1"/>
  <c r="AB14" i="3"/>
  <c r="AC14" i="3" s="1"/>
  <c r="E231" i="6"/>
  <c r="G231" i="6" s="1"/>
  <c r="E147" i="9" l="1"/>
  <c r="G147" i="9" s="1"/>
  <c r="B148" i="9" s="1"/>
  <c r="B232" i="6"/>
  <c r="C148" i="9" l="1"/>
  <c r="C232" i="6"/>
  <c r="D232" i="6" s="1"/>
  <c r="D148" i="9" l="1"/>
  <c r="E232" i="6"/>
  <c r="G232" i="6" s="1"/>
  <c r="E148" i="9" l="1"/>
  <c r="B233" i="6"/>
  <c r="G148" i="9" l="1"/>
  <c r="C233" i="6"/>
  <c r="D233" i="6" s="1"/>
  <c r="B149" i="9" l="1"/>
  <c r="E233" i="6"/>
  <c r="G233" i="6" s="1"/>
  <c r="C149" i="9" l="1"/>
  <c r="B234" i="6"/>
  <c r="D149" i="9" l="1"/>
  <c r="C234" i="6"/>
  <c r="D234" i="6" s="1"/>
  <c r="E149" i="9" l="1"/>
  <c r="E234" i="6"/>
  <c r="G234" i="6" s="1"/>
  <c r="G149" i="9" l="1"/>
  <c r="B235" i="6"/>
  <c r="B150" i="9" l="1"/>
  <c r="C235" i="6"/>
  <c r="D235" i="6" s="1"/>
  <c r="C150" i="9" l="1"/>
  <c r="E235" i="6"/>
  <c r="G235" i="6" s="1"/>
  <c r="D150" i="9" l="1"/>
  <c r="B236" i="6"/>
  <c r="E150" i="9" l="1"/>
  <c r="C236" i="6"/>
  <c r="D236" i="6" s="1"/>
  <c r="G150" i="9" l="1"/>
  <c r="E236" i="6"/>
  <c r="G236" i="6" s="1"/>
  <c r="B151" i="9" l="1"/>
  <c r="B237" i="6"/>
  <c r="C151" i="9" l="1"/>
  <c r="C237" i="6"/>
  <c r="D237" i="6" s="1"/>
  <c r="D151" i="9" l="1"/>
  <c r="E237" i="6"/>
  <c r="G237" i="6" s="1"/>
  <c r="E151" i="9" l="1"/>
  <c r="B238" i="6"/>
  <c r="G151" i="9" l="1"/>
  <c r="C238" i="6"/>
  <c r="D238" i="6" s="1"/>
  <c r="B152" i="9" l="1"/>
  <c r="E238" i="6"/>
  <c r="G238" i="6" s="1"/>
  <c r="C152" i="9" l="1"/>
  <c r="D152" i="9"/>
  <c r="B239" i="6"/>
  <c r="E152" i="9" l="1"/>
  <c r="C239" i="6"/>
  <c r="D239" i="6" s="1"/>
  <c r="G152" i="9" l="1"/>
  <c r="B153" i="9" s="1"/>
  <c r="E239" i="6"/>
  <c r="G239" i="6" s="1"/>
  <c r="C153" i="9" l="1"/>
  <c r="D153" i="9"/>
  <c r="B240" i="6"/>
  <c r="E153" i="9" l="1"/>
  <c r="C240" i="6"/>
  <c r="D240" i="6" s="1"/>
  <c r="G153" i="9" l="1"/>
  <c r="E240" i="6"/>
  <c r="G240" i="6" s="1"/>
  <c r="B154" i="9" l="1"/>
  <c r="B241" i="6"/>
  <c r="C154" i="9" l="1"/>
  <c r="D154" i="9"/>
  <c r="C241" i="6"/>
  <c r="D241" i="6" s="1"/>
  <c r="E154" i="9" l="1"/>
  <c r="E241" i="6"/>
  <c r="G241" i="6" s="1"/>
  <c r="G154" i="9" l="1"/>
  <c r="B242" i="6"/>
  <c r="B155" i="9" l="1"/>
  <c r="C242" i="6"/>
  <c r="D242" i="6" s="1"/>
  <c r="C155" i="9" l="1"/>
  <c r="H242" i="6"/>
  <c r="E242" i="6"/>
  <c r="G242" i="6" s="1"/>
  <c r="D155" i="9" l="1"/>
  <c r="R22" i="3"/>
  <c r="B243" i="6"/>
  <c r="E155" i="9" l="1"/>
  <c r="G155" i="9"/>
  <c r="B156" i="9" s="1"/>
  <c r="C243" i="6"/>
  <c r="D243" i="6" s="1"/>
  <c r="C156" i="9" l="1"/>
  <c r="E243" i="6"/>
  <c r="G243" i="6" s="1"/>
  <c r="D156" i="9" l="1"/>
  <c r="E156" i="9"/>
  <c r="B244" i="6"/>
  <c r="G156" i="9" l="1"/>
  <c r="C244" i="6"/>
  <c r="D244" i="6" s="1"/>
  <c r="B157" i="9" l="1"/>
  <c r="C157" i="9"/>
  <c r="E244" i="6"/>
  <c r="G244" i="6" s="1"/>
  <c r="D157" i="9" l="1"/>
  <c r="B245" i="6"/>
  <c r="E157" i="9" l="1"/>
  <c r="C245" i="6"/>
  <c r="D245" i="6" s="1"/>
  <c r="G157" i="9" l="1"/>
  <c r="B158" i="9"/>
  <c r="E245" i="6"/>
  <c r="G245" i="6" s="1"/>
  <c r="C158" i="9" l="1"/>
  <c r="B246" i="6"/>
  <c r="D158" i="9" l="1"/>
  <c r="C246" i="6"/>
  <c r="D246" i="6" s="1"/>
  <c r="E158" i="9" l="1"/>
  <c r="H158" i="9"/>
  <c r="E246" i="6"/>
  <c r="G246" i="6" s="1"/>
  <c r="I15" i="3" l="1"/>
  <c r="G158" i="9"/>
  <c r="B247" i="6"/>
  <c r="S15" i="3" l="1"/>
  <c r="T15" i="3" s="1"/>
  <c r="B159" i="9"/>
  <c r="W15" i="3"/>
  <c r="J15" i="3"/>
  <c r="C247" i="6"/>
  <c r="D247" i="6" s="1"/>
  <c r="AA15" i="3" l="1"/>
  <c r="Y15" i="3"/>
  <c r="C159" i="9"/>
  <c r="D159" i="9"/>
  <c r="AB15" i="3"/>
  <c r="AC15" i="3" s="1"/>
  <c r="AD15" i="3"/>
  <c r="AE15" i="3" s="1"/>
  <c r="E247" i="6"/>
  <c r="G247" i="6" s="1"/>
  <c r="E159" i="9" l="1"/>
  <c r="B248" i="6"/>
  <c r="G159" i="9" l="1"/>
  <c r="B160" i="9"/>
  <c r="C248" i="6"/>
  <c r="D248" i="6" s="1"/>
  <c r="C160" i="9" l="1"/>
  <c r="D160" i="9"/>
  <c r="E248" i="6"/>
  <c r="G248" i="6" s="1"/>
  <c r="E160" i="9" l="1"/>
  <c r="B249" i="6"/>
  <c r="G160" i="9" l="1"/>
  <c r="B161" i="9" s="1"/>
  <c r="C249" i="6"/>
  <c r="D249" i="6" s="1"/>
  <c r="C161" i="9" l="1"/>
  <c r="E249" i="6"/>
  <c r="G249" i="6" s="1"/>
  <c r="D161" i="9" l="1"/>
  <c r="B250" i="6"/>
  <c r="E161" i="9" l="1"/>
  <c r="C250" i="6"/>
  <c r="D250" i="6" s="1"/>
  <c r="G161" i="9" l="1"/>
  <c r="E250" i="6"/>
  <c r="G250" i="6" s="1"/>
  <c r="B162" i="9" l="1"/>
  <c r="B251" i="6"/>
  <c r="C162" i="9" l="1"/>
  <c r="C251" i="6"/>
  <c r="D251" i="6" s="1"/>
  <c r="D162" i="9" l="1"/>
  <c r="E251" i="6"/>
  <c r="G251" i="6" s="1"/>
  <c r="E162" i="9" l="1"/>
  <c r="B252" i="6"/>
  <c r="G162" i="9" l="1"/>
  <c r="C252" i="6"/>
  <c r="D252" i="6" s="1"/>
  <c r="B163" i="9" l="1"/>
  <c r="E252" i="6"/>
  <c r="G252" i="6" s="1"/>
  <c r="C163" i="9" l="1"/>
  <c r="B253" i="6"/>
  <c r="D163" i="9" l="1"/>
  <c r="C253" i="6"/>
  <c r="D253" i="6" s="1"/>
  <c r="E163" i="9" l="1"/>
  <c r="E253" i="6"/>
  <c r="G253" i="6" s="1"/>
  <c r="G163" i="9" l="1"/>
  <c r="B254" i="6"/>
  <c r="B164" i="9" l="1"/>
  <c r="C254" i="6"/>
  <c r="D254" i="6" s="1"/>
  <c r="C164" i="9" l="1"/>
  <c r="H254" i="6"/>
  <c r="E254" i="6"/>
  <c r="G254" i="6" s="1"/>
  <c r="D164" i="9" l="1"/>
  <c r="R23" i="3"/>
  <c r="B255" i="6"/>
  <c r="E164" i="9" l="1"/>
  <c r="G164" i="9"/>
  <c r="C255" i="6"/>
  <c r="D255" i="6" s="1"/>
  <c r="B165" i="9" l="1"/>
  <c r="E255" i="6"/>
  <c r="G255" i="6" s="1"/>
  <c r="C165" i="9" l="1"/>
  <c r="B256" i="6"/>
  <c r="D165" i="9" l="1"/>
  <c r="C256" i="6"/>
  <c r="D256" i="6" s="1"/>
  <c r="E165" i="9" l="1"/>
  <c r="E256" i="6"/>
  <c r="G256" i="6" s="1"/>
  <c r="G165" i="9" l="1"/>
  <c r="B257" i="6"/>
  <c r="B166" i="9" l="1"/>
  <c r="C257" i="6"/>
  <c r="D257" i="6" s="1"/>
  <c r="C166" i="9" l="1"/>
  <c r="E257" i="6"/>
  <c r="G257" i="6" s="1"/>
  <c r="D166" i="9" l="1"/>
  <c r="B258" i="6"/>
  <c r="E166" i="9" l="1"/>
  <c r="C258" i="6"/>
  <c r="D258" i="6" s="1"/>
  <c r="G166" i="9" l="1"/>
  <c r="E258" i="6"/>
  <c r="G258" i="6" s="1"/>
  <c r="B167" i="9" l="1"/>
  <c r="B259" i="6"/>
  <c r="C167" i="9" l="1"/>
  <c r="C259" i="6"/>
  <c r="D259" i="6" s="1"/>
  <c r="D167" i="9" l="1"/>
  <c r="E259" i="6"/>
  <c r="G259" i="6" s="1"/>
  <c r="E167" i="9" l="1"/>
  <c r="B260" i="6"/>
  <c r="G167" i="9" l="1"/>
  <c r="C260" i="6"/>
  <c r="D260" i="6" s="1"/>
  <c r="B168" i="9" l="1"/>
  <c r="E260" i="6"/>
  <c r="G260" i="6" s="1"/>
  <c r="C168" i="9" l="1"/>
  <c r="B261" i="6"/>
  <c r="D168" i="9" l="1"/>
  <c r="C261" i="6"/>
  <c r="D261" i="6" s="1"/>
  <c r="E168" i="9" l="1"/>
  <c r="G168" i="9"/>
  <c r="E261" i="6"/>
  <c r="G261" i="6" s="1"/>
  <c r="B169" i="9" l="1"/>
  <c r="B262" i="6"/>
  <c r="C169" i="9" l="1"/>
  <c r="C262" i="6"/>
  <c r="D262" i="6" s="1"/>
  <c r="D169" i="9" l="1"/>
  <c r="E262" i="6"/>
  <c r="G262" i="6" s="1"/>
  <c r="E169" i="9" l="1"/>
  <c r="B263" i="6"/>
  <c r="G169" i="9" l="1"/>
  <c r="C263" i="6"/>
  <c r="D263" i="6" s="1"/>
  <c r="B170" i="9" l="1"/>
  <c r="C170" i="9"/>
  <c r="E263" i="6"/>
  <c r="G263" i="6" s="1"/>
  <c r="D170" i="9" l="1"/>
  <c r="B264" i="6"/>
  <c r="E170" i="9" l="1"/>
  <c r="H170" i="9"/>
  <c r="G170" i="9"/>
  <c r="B171" i="9" s="1"/>
  <c r="C264" i="6"/>
  <c r="D264" i="6" s="1"/>
  <c r="S16" i="3" l="1"/>
  <c r="T16" i="3" s="1"/>
  <c r="I16" i="3"/>
  <c r="C171" i="9"/>
  <c r="E264" i="6"/>
  <c r="G264" i="6" s="1"/>
  <c r="W16" i="3" l="1"/>
  <c r="J16" i="3"/>
  <c r="D171" i="9"/>
  <c r="B265" i="6"/>
  <c r="AB16" i="3" l="1"/>
  <c r="AC16" i="3" s="1"/>
  <c r="AD16" i="3"/>
  <c r="AE16" i="3" s="1"/>
  <c r="AA16" i="3"/>
  <c r="Y16" i="3"/>
  <c r="E171" i="9"/>
  <c r="C265" i="6"/>
  <c r="D265" i="6" s="1"/>
  <c r="G171" i="9" l="1"/>
  <c r="E265" i="6"/>
  <c r="G265" i="6" s="1"/>
  <c r="B172" i="9" l="1"/>
  <c r="B266" i="6"/>
  <c r="C172" i="9" l="1"/>
  <c r="C266" i="6"/>
  <c r="D266" i="6" s="1"/>
  <c r="D172" i="9" l="1"/>
  <c r="H266" i="6"/>
  <c r="E266" i="6"/>
  <c r="G266" i="6" s="1"/>
  <c r="E172" i="9" l="1"/>
  <c r="R24" i="3"/>
  <c r="B267" i="6"/>
  <c r="G172" i="9" l="1"/>
  <c r="C267" i="6"/>
  <c r="D267" i="6" s="1"/>
  <c r="B173" i="9" l="1"/>
  <c r="E267" i="6"/>
  <c r="G267" i="6" s="1"/>
  <c r="C173" i="9" l="1"/>
  <c r="B268" i="6"/>
  <c r="D173" i="9" l="1"/>
  <c r="C268" i="6"/>
  <c r="D268" i="6" s="1"/>
  <c r="E173" i="9" l="1"/>
  <c r="E268" i="6"/>
  <c r="G268" i="6" s="1"/>
  <c r="G173" i="9" l="1"/>
  <c r="B269" i="6"/>
  <c r="B174" i="9" l="1"/>
  <c r="C269" i="6"/>
  <c r="D269" i="6" s="1"/>
  <c r="C174" i="9" l="1"/>
  <c r="E269" i="6"/>
  <c r="G269" i="6" s="1"/>
  <c r="D174" i="9" l="1"/>
  <c r="B270" i="6"/>
  <c r="E174" i="9" l="1"/>
  <c r="C270" i="6"/>
  <c r="D270" i="6" s="1"/>
  <c r="G174" i="9" l="1"/>
  <c r="E270" i="6"/>
  <c r="G270" i="6" s="1"/>
  <c r="B175" i="9" l="1"/>
  <c r="B271" i="6"/>
  <c r="C175" i="9" l="1"/>
  <c r="C271" i="6"/>
  <c r="D271" i="6" s="1"/>
  <c r="D175" i="9" l="1"/>
  <c r="E271" i="6"/>
  <c r="G271" i="6" s="1"/>
  <c r="E175" i="9" l="1"/>
  <c r="B272" i="6"/>
  <c r="G175" i="9" l="1"/>
  <c r="C272" i="6"/>
  <c r="D272" i="6" s="1"/>
  <c r="B176" i="9" l="1"/>
  <c r="E272" i="6"/>
  <c r="G272" i="6" s="1"/>
  <c r="C176" i="9" l="1"/>
  <c r="B273" i="6"/>
  <c r="D176" i="9" l="1"/>
  <c r="C273" i="6"/>
  <c r="D273" i="6" s="1"/>
  <c r="E176" i="9" l="1"/>
  <c r="E273" i="6"/>
  <c r="G273" i="6" s="1"/>
  <c r="G176" i="9" l="1"/>
  <c r="B274" i="6"/>
  <c r="B177" i="9" l="1"/>
  <c r="C274" i="6"/>
  <c r="D274" i="6" s="1"/>
  <c r="C177" i="9" l="1"/>
  <c r="E274" i="6"/>
  <c r="G274" i="6" s="1"/>
  <c r="D177" i="9" l="1"/>
  <c r="B275" i="6"/>
  <c r="E177" i="9" l="1"/>
  <c r="C275" i="6"/>
  <c r="D275" i="6" s="1"/>
  <c r="G177" i="9" l="1"/>
  <c r="E275" i="6"/>
  <c r="G275" i="6" s="1"/>
  <c r="B178" i="9" l="1"/>
  <c r="B276" i="6"/>
  <c r="C178" i="9" l="1"/>
  <c r="C276" i="6"/>
  <c r="D276" i="6" s="1"/>
  <c r="D178" i="9" l="1"/>
  <c r="E276" i="6"/>
  <c r="G276" i="6" s="1"/>
  <c r="E178" i="9" l="1"/>
  <c r="B277" i="6"/>
  <c r="G178" i="9" l="1"/>
  <c r="C277" i="6"/>
  <c r="D277" i="6" s="1"/>
  <c r="B179" i="9" l="1"/>
  <c r="E277" i="6"/>
  <c r="G277" i="6" s="1"/>
  <c r="C179" i="9" l="1"/>
  <c r="B278" i="6"/>
  <c r="D179" i="9" l="1"/>
  <c r="C278" i="6"/>
  <c r="D278" i="6" s="1"/>
  <c r="E179" i="9" l="1"/>
  <c r="H278" i="6"/>
  <c r="E278" i="6"/>
  <c r="G278" i="6" s="1"/>
  <c r="G179" i="9" l="1"/>
  <c r="R25" i="3"/>
  <c r="B279" i="6"/>
  <c r="B180" i="9" l="1"/>
  <c r="C279" i="6"/>
  <c r="D279" i="6" s="1"/>
  <c r="C180" i="9" l="1"/>
  <c r="E279" i="6"/>
  <c r="G279" i="6" s="1"/>
  <c r="D180" i="9" l="1"/>
  <c r="B280" i="6"/>
  <c r="E180" i="9" l="1"/>
  <c r="C280" i="6"/>
  <c r="D280" i="6" s="1"/>
  <c r="G180" i="9" l="1"/>
  <c r="E280" i="6"/>
  <c r="G280" i="6" s="1"/>
  <c r="B181" i="9" l="1"/>
  <c r="B281" i="6"/>
  <c r="C181" i="9" l="1"/>
  <c r="C281" i="6"/>
  <c r="D281" i="6" s="1"/>
  <c r="D181" i="9" l="1"/>
  <c r="E281" i="6"/>
  <c r="G281" i="6" s="1"/>
  <c r="E181" i="9" l="1"/>
  <c r="B282" i="6"/>
  <c r="G181" i="9" l="1"/>
  <c r="C282" i="6"/>
  <c r="D282" i="6" s="1"/>
  <c r="B182" i="9" l="1"/>
  <c r="E282" i="6"/>
  <c r="G282" i="6" s="1"/>
  <c r="C182" i="9" l="1"/>
  <c r="B283" i="6"/>
  <c r="D182" i="9" l="1"/>
  <c r="C283" i="6"/>
  <c r="D283" i="6" s="1"/>
  <c r="H182" i="9" l="1"/>
  <c r="E182" i="9"/>
  <c r="E283" i="6"/>
  <c r="G283" i="6" s="1"/>
  <c r="G182" i="9" l="1"/>
  <c r="I17" i="3"/>
  <c r="B284" i="6"/>
  <c r="S17" i="3" l="1"/>
  <c r="T17" i="3" s="1"/>
  <c r="B183" i="9"/>
  <c r="W17" i="3"/>
  <c r="J17" i="3"/>
  <c r="C284" i="6"/>
  <c r="D284" i="6" s="1"/>
  <c r="AA17" i="3" l="1"/>
  <c r="Y17" i="3"/>
  <c r="AD17" i="3"/>
  <c r="AE17" i="3" s="1"/>
  <c r="AB17" i="3"/>
  <c r="AC17" i="3" s="1"/>
  <c r="C183" i="9"/>
  <c r="E284" i="6"/>
  <c r="G284" i="6" s="1"/>
  <c r="D183" i="9" l="1"/>
  <c r="B285" i="6"/>
  <c r="E183" i="9" l="1"/>
  <c r="C285" i="6"/>
  <c r="D285" i="6" s="1"/>
  <c r="G183" i="9" l="1"/>
  <c r="E285" i="6"/>
  <c r="G285" i="6" s="1"/>
  <c r="B184" i="9" l="1"/>
  <c r="B286" i="6"/>
  <c r="C184" i="9" l="1"/>
  <c r="C286" i="6"/>
  <c r="D286" i="6" s="1"/>
  <c r="D184" i="9" l="1"/>
  <c r="E286" i="6"/>
  <c r="G286" i="6" s="1"/>
  <c r="E184" i="9" l="1"/>
  <c r="B287" i="6"/>
  <c r="G184" i="9" l="1"/>
  <c r="C287" i="6"/>
  <c r="D287" i="6" s="1"/>
  <c r="B185" i="9" l="1"/>
  <c r="E287" i="6"/>
  <c r="G287" i="6" s="1"/>
  <c r="C185" i="9" l="1"/>
  <c r="B288" i="6"/>
  <c r="D185" i="9" l="1"/>
  <c r="C288" i="6"/>
  <c r="D288" i="6" s="1"/>
  <c r="E185" i="9" l="1"/>
  <c r="E288" i="6"/>
  <c r="G288" i="6" s="1"/>
  <c r="G185" i="9" l="1"/>
  <c r="B289" i="6"/>
  <c r="B186" i="9" l="1"/>
  <c r="C289" i="6"/>
  <c r="D289" i="6" s="1"/>
  <c r="C186" i="9" l="1"/>
  <c r="E289" i="6"/>
  <c r="G289" i="6" s="1"/>
  <c r="D186" i="9" l="1"/>
  <c r="B290" i="6"/>
  <c r="E186" i="9" l="1"/>
  <c r="C290" i="6"/>
  <c r="D290" i="6" s="1"/>
  <c r="G186" i="9" l="1"/>
  <c r="H290" i="6"/>
  <c r="E290" i="6"/>
  <c r="G290" i="6" s="1"/>
  <c r="B187" i="9" l="1"/>
  <c r="R26" i="3"/>
  <c r="B291" i="6"/>
  <c r="C187" i="9" l="1"/>
  <c r="C291" i="6"/>
  <c r="D291" i="6" s="1"/>
  <c r="D187" i="9" l="1"/>
  <c r="E291" i="6"/>
  <c r="G291" i="6" s="1"/>
  <c r="E187" i="9" l="1"/>
  <c r="B292" i="6"/>
  <c r="G187" i="9" l="1"/>
  <c r="C292" i="6"/>
  <c r="D292" i="6" s="1"/>
  <c r="B188" i="9" l="1"/>
  <c r="E292" i="6"/>
  <c r="G292" i="6" s="1"/>
  <c r="C188" i="9" l="1"/>
  <c r="B293" i="6"/>
  <c r="D188" i="9" l="1"/>
  <c r="C293" i="6"/>
  <c r="D293" i="6" s="1"/>
  <c r="E188" i="9" l="1"/>
  <c r="E293" i="6"/>
  <c r="G293" i="6" s="1"/>
  <c r="G188" i="9" l="1"/>
  <c r="B294" i="6"/>
  <c r="B189" i="9" l="1"/>
  <c r="C294" i="6"/>
  <c r="D294" i="6" s="1"/>
  <c r="C189" i="9" l="1"/>
  <c r="E294" i="6"/>
  <c r="G294" i="6" s="1"/>
  <c r="D189" i="9" l="1"/>
  <c r="B295" i="6"/>
  <c r="E189" i="9" l="1"/>
  <c r="C295" i="6"/>
  <c r="D295" i="6" s="1"/>
  <c r="G189" i="9" l="1"/>
  <c r="E295" i="6"/>
  <c r="G295" i="6" s="1"/>
  <c r="B190" i="9" l="1"/>
  <c r="C190" i="9" s="1"/>
  <c r="D190" i="9"/>
  <c r="B296" i="6"/>
  <c r="E190" i="9" l="1"/>
  <c r="C296" i="6"/>
  <c r="D296" i="6" s="1"/>
  <c r="G190" i="9" l="1"/>
  <c r="E296" i="6"/>
  <c r="G296" i="6" s="1"/>
  <c r="B191" i="9" l="1"/>
  <c r="B297" i="6"/>
  <c r="C191" i="9" l="1"/>
  <c r="C297" i="6"/>
  <c r="D297" i="6" s="1"/>
  <c r="D191" i="9" l="1"/>
  <c r="E297" i="6"/>
  <c r="G297" i="6" s="1"/>
  <c r="E191" i="9" l="1"/>
  <c r="B298" i="6"/>
  <c r="G191" i="9" l="1"/>
  <c r="C298" i="6"/>
  <c r="D298" i="6" s="1"/>
  <c r="B192" i="9" l="1"/>
  <c r="E298" i="6"/>
  <c r="G298" i="6" s="1"/>
  <c r="C192" i="9" l="1"/>
  <c r="D192" i="9"/>
  <c r="B299" i="6"/>
  <c r="E192" i="9" l="1"/>
  <c r="C299" i="6"/>
  <c r="D299" i="6" s="1"/>
  <c r="G192" i="9" l="1"/>
  <c r="E299" i="6"/>
  <c r="G299" i="6" s="1"/>
  <c r="B193" i="9" l="1"/>
  <c r="B300" i="6"/>
  <c r="C193" i="9" l="1"/>
  <c r="C300" i="6"/>
  <c r="D300" i="6" s="1"/>
  <c r="D193" i="9" l="1"/>
  <c r="E300" i="6"/>
  <c r="G300" i="6" s="1"/>
  <c r="E193" i="9" l="1"/>
  <c r="G193" i="9"/>
  <c r="B301" i="6"/>
  <c r="B194" i="9" l="1"/>
  <c r="C301" i="6"/>
  <c r="D301" i="6" s="1"/>
  <c r="C194" i="9" l="1"/>
  <c r="E301" i="6"/>
  <c r="G301" i="6" s="1"/>
  <c r="D194" i="9" l="1"/>
  <c r="B302" i="6"/>
  <c r="H194" i="9" l="1"/>
  <c r="E194" i="9"/>
  <c r="C302" i="6"/>
  <c r="D302" i="6" s="1"/>
  <c r="G194" i="9" l="1"/>
  <c r="S18" i="3" s="1"/>
  <c r="I18" i="3"/>
  <c r="H302" i="6"/>
  <c r="E302" i="6"/>
  <c r="G302" i="6" s="1"/>
  <c r="B195" i="9" l="1"/>
  <c r="C195" i="9"/>
  <c r="D195" i="9" s="1"/>
  <c r="W18" i="3"/>
  <c r="Y18" i="3" s="1"/>
  <c r="H76" i="1" s="1"/>
  <c r="J18" i="3"/>
  <c r="AU7" i="3"/>
  <c r="AR19" i="3" s="1"/>
  <c r="T18" i="3"/>
  <c r="B303" i="6"/>
  <c r="R27" i="3"/>
  <c r="AU19" i="3" l="1"/>
  <c r="AU21" i="3"/>
  <c r="E195" i="9"/>
  <c r="AA18" i="3"/>
  <c r="AB18" i="3"/>
  <c r="AC18" i="3" s="1"/>
  <c r="AD18" i="3"/>
  <c r="AE18" i="3" s="1"/>
  <c r="C303" i="6"/>
  <c r="D303" i="6" s="1"/>
  <c r="G195" i="9" l="1"/>
  <c r="E303" i="6"/>
  <c r="G303" i="6" s="1"/>
  <c r="B196" i="9" l="1"/>
  <c r="C196" i="9"/>
  <c r="B304" i="6"/>
  <c r="D196" i="9" l="1"/>
  <c r="C304" i="6"/>
  <c r="D304" i="6" s="1"/>
  <c r="E196" i="9" l="1"/>
  <c r="E304" i="6"/>
  <c r="G304" i="6" s="1"/>
  <c r="G196" i="9" l="1"/>
  <c r="B305" i="6"/>
  <c r="B197" i="9" l="1"/>
  <c r="C197" i="9" s="1"/>
  <c r="C305" i="6"/>
  <c r="D305" i="6" s="1"/>
  <c r="D197" i="9" l="1"/>
  <c r="E305" i="6"/>
  <c r="G305" i="6" s="1"/>
  <c r="E197" i="9" l="1"/>
  <c r="B306" i="6"/>
  <c r="G197" i="9" l="1"/>
  <c r="C306" i="6"/>
  <c r="D306" i="6" s="1"/>
  <c r="B198" i="9" l="1"/>
  <c r="E306" i="6"/>
  <c r="G306" i="6" s="1"/>
  <c r="C198" i="9" l="1"/>
  <c r="B307" i="6"/>
  <c r="D198" i="9" l="1"/>
  <c r="C307" i="6"/>
  <c r="D307" i="6" s="1"/>
  <c r="E198" i="9" l="1"/>
  <c r="E307" i="6"/>
  <c r="G307" i="6" s="1"/>
  <c r="G198" i="9" l="1"/>
  <c r="B308" i="6"/>
  <c r="B199" i="9" l="1"/>
  <c r="C308" i="6"/>
  <c r="D308" i="6" s="1"/>
  <c r="C199" i="9" l="1"/>
  <c r="D199" i="9"/>
  <c r="E308" i="6"/>
  <c r="G308" i="6" s="1"/>
  <c r="E199" i="9" l="1"/>
  <c r="B309" i="6"/>
  <c r="G199" i="9" l="1"/>
  <c r="C309" i="6"/>
  <c r="D309" i="6" s="1"/>
  <c r="B200" i="9" l="1"/>
  <c r="E309" i="6"/>
  <c r="G309" i="6" s="1"/>
  <c r="C200" i="9" l="1"/>
  <c r="B310" i="6"/>
  <c r="D200" i="9" l="1"/>
  <c r="C310" i="6"/>
  <c r="D310" i="6" s="1"/>
  <c r="E200" i="9" l="1"/>
  <c r="E310" i="6"/>
  <c r="G310" i="6" s="1"/>
  <c r="G200" i="9" l="1"/>
  <c r="B311" i="6"/>
  <c r="B201" i="9" l="1"/>
  <c r="C201" i="9" s="1"/>
  <c r="D201" i="9"/>
  <c r="C311" i="6"/>
  <c r="D311" i="6" s="1"/>
  <c r="E201" i="9" l="1"/>
  <c r="E311" i="6"/>
  <c r="G311" i="6" s="1"/>
  <c r="G201" i="9" l="1"/>
  <c r="B202" i="9"/>
  <c r="B312" i="6"/>
  <c r="C202" i="9" l="1"/>
  <c r="D202" i="9"/>
  <c r="C312" i="6"/>
  <c r="D312" i="6" s="1"/>
  <c r="E202" i="9" l="1"/>
  <c r="E312" i="6"/>
  <c r="G312" i="6" s="1"/>
  <c r="G202" i="9" l="1"/>
  <c r="B313" i="6"/>
  <c r="B203" i="9" l="1"/>
  <c r="C313" i="6"/>
  <c r="D313" i="6" s="1"/>
  <c r="C203" i="9" l="1"/>
  <c r="E313" i="6"/>
  <c r="G313" i="6" s="1"/>
  <c r="D203" i="9" l="1"/>
  <c r="E203" i="9"/>
  <c r="B314" i="6"/>
  <c r="G203" i="9" l="1"/>
  <c r="B204" i="9"/>
  <c r="C314" i="6"/>
  <c r="D314" i="6" s="1"/>
  <c r="C204" i="9" l="1"/>
  <c r="H314" i="6"/>
  <c r="E314" i="6"/>
  <c r="G314" i="6" s="1"/>
  <c r="D204" i="9" l="1"/>
  <c r="B315" i="6"/>
  <c r="R28" i="3"/>
  <c r="E204" i="9" l="1"/>
  <c r="C315" i="6"/>
  <c r="D315" i="6" s="1"/>
  <c r="G204" i="9" l="1"/>
  <c r="B205" i="9" s="1"/>
  <c r="E315" i="6"/>
  <c r="G315" i="6" s="1"/>
  <c r="C205" i="9" l="1"/>
  <c r="D205" i="9"/>
  <c r="B316" i="6"/>
  <c r="E205" i="9" l="1"/>
  <c r="C316" i="6"/>
  <c r="D316" i="6" s="1"/>
  <c r="G205" i="9" l="1"/>
  <c r="B206" i="9" s="1"/>
  <c r="E316" i="6"/>
  <c r="G316" i="6" s="1"/>
  <c r="C206" i="9" l="1"/>
  <c r="D206" i="9"/>
  <c r="B317" i="6"/>
  <c r="E206" i="9" l="1"/>
  <c r="H206" i="9"/>
  <c r="C317" i="6"/>
  <c r="D317" i="6" s="1"/>
  <c r="G206" i="9" l="1"/>
  <c r="B207" i="9"/>
  <c r="S19" i="3"/>
  <c r="T19" i="3" s="1"/>
  <c r="I19" i="3"/>
  <c r="E317" i="6"/>
  <c r="G317" i="6" s="1"/>
  <c r="C207" i="9" l="1"/>
  <c r="D207" i="9" s="1"/>
  <c r="W19" i="3"/>
  <c r="J19" i="3"/>
  <c r="B318" i="6"/>
  <c r="AB19" i="3" l="1"/>
  <c r="AC19" i="3" s="1"/>
  <c r="AD19" i="3"/>
  <c r="AE19" i="3" s="1"/>
  <c r="E207" i="9"/>
  <c r="AA19" i="3"/>
  <c r="Y19" i="3"/>
  <c r="C318" i="6"/>
  <c r="D318" i="6" s="1"/>
  <c r="G207" i="9" l="1"/>
  <c r="B208" i="9"/>
  <c r="E318" i="6"/>
  <c r="G318" i="6" s="1"/>
  <c r="C208" i="9" l="1"/>
  <c r="B319" i="6"/>
  <c r="D208" i="9" l="1"/>
  <c r="C319" i="6"/>
  <c r="D319" i="6" s="1"/>
  <c r="E208" i="9" l="1"/>
  <c r="E319" i="6"/>
  <c r="G319" i="6" s="1"/>
  <c r="G208" i="9" l="1"/>
  <c r="B320" i="6"/>
  <c r="B209" i="9" l="1"/>
  <c r="C320" i="6"/>
  <c r="D320" i="6" s="1"/>
  <c r="C209" i="9" l="1"/>
  <c r="E320" i="6"/>
  <c r="G320" i="6" s="1"/>
  <c r="D209" i="9" l="1"/>
  <c r="B321" i="6"/>
  <c r="E209" i="9" l="1"/>
  <c r="C321" i="6"/>
  <c r="D321" i="6" s="1"/>
  <c r="G209" i="9" l="1"/>
  <c r="B210" i="9"/>
  <c r="E321" i="6"/>
  <c r="G321" i="6" s="1"/>
  <c r="C210" i="9" l="1"/>
  <c r="B322" i="6"/>
  <c r="D210" i="9" l="1"/>
  <c r="C322" i="6"/>
  <c r="D322" i="6" s="1"/>
  <c r="E210" i="9" l="1"/>
  <c r="E322" i="6"/>
  <c r="G322" i="6" s="1"/>
  <c r="G210" i="9" l="1"/>
  <c r="B323" i="6"/>
  <c r="B211" i="9" l="1"/>
  <c r="C323" i="6"/>
  <c r="D323" i="6" s="1"/>
  <c r="C211" i="9" l="1"/>
  <c r="E323" i="6"/>
  <c r="G323" i="6" s="1"/>
  <c r="D211" i="9" l="1"/>
  <c r="E211" i="9"/>
  <c r="B324" i="6"/>
  <c r="G211" i="9" l="1"/>
  <c r="B212" i="9"/>
  <c r="C324" i="6"/>
  <c r="D324" i="6" s="1"/>
  <c r="C212" i="9" l="1"/>
  <c r="D212" i="9"/>
  <c r="E324" i="6"/>
  <c r="G324" i="6" s="1"/>
  <c r="E212" i="9" l="1"/>
  <c r="B325" i="6"/>
  <c r="G212" i="9" l="1"/>
  <c r="C325" i="6"/>
  <c r="D325" i="6" s="1"/>
  <c r="B213" i="9" l="1"/>
  <c r="E325" i="6"/>
  <c r="G325" i="6" s="1"/>
  <c r="C213" i="9" l="1"/>
  <c r="D213" i="9"/>
  <c r="B326" i="6"/>
  <c r="E213" i="9" l="1"/>
  <c r="C326" i="6"/>
  <c r="D326" i="6" s="1"/>
  <c r="G213" i="9" l="1"/>
  <c r="H326" i="6"/>
  <c r="E326" i="6"/>
  <c r="G326" i="6" s="1"/>
  <c r="B214" i="9" l="1"/>
  <c r="R29" i="3"/>
  <c r="B327" i="6"/>
  <c r="C214" i="9" l="1"/>
  <c r="C327" i="6"/>
  <c r="D327" i="6" s="1"/>
  <c r="D214" i="9" l="1"/>
  <c r="E327" i="6"/>
  <c r="G327" i="6" s="1"/>
  <c r="E214" i="9" l="1"/>
  <c r="B328" i="6"/>
  <c r="G214" i="9" l="1"/>
  <c r="C328" i="6"/>
  <c r="D328" i="6" s="1"/>
  <c r="B215" i="9" l="1"/>
  <c r="C215" i="9" s="1"/>
  <c r="D215" i="9"/>
  <c r="E328" i="6"/>
  <c r="G328" i="6" s="1"/>
  <c r="E215" i="9" l="1"/>
  <c r="B329" i="6"/>
  <c r="G215" i="9" l="1"/>
  <c r="B216" i="9"/>
  <c r="C329" i="6"/>
  <c r="D329" i="6" s="1"/>
  <c r="C216" i="9" l="1"/>
  <c r="D216" i="9"/>
  <c r="E329" i="6"/>
  <c r="G329" i="6" s="1"/>
  <c r="E216" i="9" l="1"/>
  <c r="B330" i="6"/>
  <c r="G216" i="9" l="1"/>
  <c r="C330" i="6"/>
  <c r="D330" i="6" s="1"/>
  <c r="B217" i="9" l="1"/>
  <c r="C217" i="9"/>
  <c r="E330" i="6"/>
  <c r="G330" i="6" s="1"/>
  <c r="D217" i="9" l="1"/>
  <c r="B331" i="6"/>
  <c r="E217" i="9" l="1"/>
  <c r="G217" i="9"/>
  <c r="C331" i="6"/>
  <c r="D331" i="6" s="1"/>
  <c r="B218" i="9" l="1"/>
  <c r="C218" i="9"/>
  <c r="E331" i="6"/>
  <c r="G331" i="6" s="1"/>
  <c r="D218" i="9" l="1"/>
  <c r="B332" i="6"/>
  <c r="E218" i="9" l="1"/>
  <c r="H218" i="9"/>
  <c r="C332" i="6"/>
  <c r="D332" i="6" s="1"/>
  <c r="I20" i="3" l="1"/>
  <c r="G218" i="9"/>
  <c r="E332" i="6"/>
  <c r="G332" i="6" s="1"/>
  <c r="B219" i="9" l="1"/>
  <c r="S20" i="3"/>
  <c r="T20" i="3" s="1"/>
  <c r="W20" i="3"/>
  <c r="J20" i="3"/>
  <c r="B333" i="6"/>
  <c r="AD20" i="3" l="1"/>
  <c r="AE20" i="3" s="1"/>
  <c r="AB20" i="3"/>
  <c r="AC20" i="3" s="1"/>
  <c r="Y20" i="3"/>
  <c r="AA20" i="3"/>
  <c r="C219" i="9"/>
  <c r="C333" i="6"/>
  <c r="D333" i="6" s="1"/>
  <c r="D219" i="9" l="1"/>
  <c r="E333" i="6"/>
  <c r="G333" i="6" s="1"/>
  <c r="E219" i="9" l="1"/>
  <c r="B334" i="6"/>
  <c r="G219" i="9" l="1"/>
  <c r="C334" i="6"/>
  <c r="D334" i="6" s="1"/>
  <c r="B220" i="9" l="1"/>
  <c r="E334" i="6"/>
  <c r="G334" i="6" s="1"/>
  <c r="C220" i="9" l="1"/>
  <c r="B335" i="6"/>
  <c r="D220" i="9" l="1"/>
  <c r="C335" i="6"/>
  <c r="D335" i="6" s="1"/>
  <c r="E220" i="9" l="1"/>
  <c r="E335" i="6"/>
  <c r="G335" i="6" s="1"/>
  <c r="G220" i="9" l="1"/>
  <c r="B336" i="6"/>
  <c r="B221" i="9" l="1"/>
  <c r="C336" i="6"/>
  <c r="D336" i="6" s="1"/>
  <c r="C221" i="9" l="1"/>
  <c r="E336" i="6"/>
  <c r="G336" i="6" s="1"/>
  <c r="D221" i="9" l="1"/>
  <c r="B337" i="6"/>
  <c r="E221" i="9" l="1"/>
  <c r="C337" i="6"/>
  <c r="D337" i="6" s="1"/>
  <c r="G221" i="9" l="1"/>
  <c r="E337" i="6"/>
  <c r="G337" i="6" s="1"/>
  <c r="B222" i="9" l="1"/>
  <c r="B338" i="6"/>
  <c r="C222" i="9" l="1"/>
  <c r="C338" i="6"/>
  <c r="D338" i="6" s="1"/>
  <c r="D222" i="9" l="1"/>
  <c r="H338" i="6"/>
  <c r="E338" i="6"/>
  <c r="G338" i="6" s="1"/>
  <c r="E222" i="9" l="1"/>
  <c r="B339" i="6"/>
  <c r="R30" i="3"/>
  <c r="G222" i="9" l="1"/>
  <c r="C339" i="6"/>
  <c r="D339" i="6" s="1"/>
  <c r="B223" i="9" l="1"/>
  <c r="E339" i="6"/>
  <c r="G339" i="6" s="1"/>
  <c r="C223" i="9" l="1"/>
  <c r="D223" i="9"/>
  <c r="B340" i="6"/>
  <c r="E223" i="9" l="1"/>
  <c r="C340" i="6"/>
  <c r="D340" i="6" s="1"/>
  <c r="G223" i="9" l="1"/>
  <c r="E340" i="6"/>
  <c r="G340" i="6" s="1"/>
  <c r="B224" i="9" l="1"/>
  <c r="C224" i="9"/>
  <c r="B341" i="6"/>
  <c r="D224" i="9" l="1"/>
  <c r="C341" i="6"/>
  <c r="D341" i="6" s="1"/>
  <c r="E224" i="9" l="1"/>
  <c r="E341" i="6"/>
  <c r="G341" i="6" s="1"/>
  <c r="G224" i="9" l="1"/>
  <c r="B342" i="6"/>
  <c r="B225" i="9" l="1"/>
  <c r="C225" i="9"/>
  <c r="C342" i="6"/>
  <c r="D342" i="6" s="1"/>
  <c r="D225" i="9" l="1"/>
  <c r="E342" i="6"/>
  <c r="G342" i="6" s="1"/>
  <c r="E225" i="9" l="1"/>
  <c r="B343" i="6"/>
  <c r="G225" i="9" l="1"/>
  <c r="C343" i="6"/>
  <c r="D343" i="6" s="1"/>
  <c r="B226" i="9" l="1"/>
  <c r="C226" i="9"/>
  <c r="E343" i="6"/>
  <c r="G343" i="6" s="1"/>
  <c r="D226" i="9" l="1"/>
  <c r="E226" i="9"/>
  <c r="G226" i="9" s="1"/>
  <c r="B344" i="6"/>
  <c r="B227" i="9" l="1"/>
  <c r="C344" i="6"/>
  <c r="D344" i="6" s="1"/>
  <c r="C227" i="9" l="1"/>
  <c r="E344" i="6"/>
  <c r="G344" i="6" s="1"/>
  <c r="D227" i="9" l="1"/>
  <c r="B345" i="6"/>
  <c r="E227" i="9" l="1"/>
  <c r="C345" i="6"/>
  <c r="D345" i="6" s="1"/>
  <c r="G227" i="9" l="1"/>
  <c r="E345" i="6"/>
  <c r="G345" i="6" s="1"/>
  <c r="B228" i="9" l="1"/>
  <c r="B346" i="6"/>
  <c r="C228" i="9" l="1"/>
  <c r="C346" i="6"/>
  <c r="D346" i="6" s="1"/>
  <c r="D228" i="9" l="1"/>
  <c r="E346" i="6"/>
  <c r="G346" i="6" s="1"/>
  <c r="E228" i="9" l="1"/>
  <c r="B347" i="6"/>
  <c r="G228" i="9" l="1"/>
  <c r="C347" i="6"/>
  <c r="D347" i="6" s="1"/>
  <c r="B229" i="9" l="1"/>
  <c r="E347" i="6"/>
  <c r="G347" i="6" s="1"/>
  <c r="C229" i="9" l="1"/>
  <c r="B348" i="6"/>
  <c r="D229" i="9" l="1"/>
  <c r="C348" i="6"/>
  <c r="D348" i="6" s="1"/>
  <c r="E229" i="9" l="1"/>
  <c r="E348" i="6"/>
  <c r="G348" i="6" s="1"/>
  <c r="G229" i="9" l="1"/>
  <c r="B349" i="6"/>
  <c r="B230" i="9" l="1"/>
  <c r="C349" i="6"/>
  <c r="D349" i="6" s="1"/>
  <c r="C230" i="9" l="1"/>
  <c r="E349" i="6"/>
  <c r="G349" i="6" s="1"/>
  <c r="D230" i="9" l="1"/>
  <c r="B350" i="6"/>
  <c r="H230" i="9" l="1"/>
  <c r="E230" i="9"/>
  <c r="C350" i="6"/>
  <c r="D350" i="6" s="1"/>
  <c r="G230" i="9" l="1"/>
  <c r="I21" i="3"/>
  <c r="H350" i="6"/>
  <c r="E350" i="6"/>
  <c r="G350" i="6" s="1"/>
  <c r="J21" i="3" l="1"/>
  <c r="W21" i="3"/>
  <c r="S21" i="3"/>
  <c r="T21" i="3" s="1"/>
  <c r="B231" i="9"/>
  <c r="B351" i="6"/>
  <c r="R31" i="3"/>
  <c r="C231" i="9" l="1"/>
  <c r="AB21" i="3"/>
  <c r="AC21" i="3" s="1"/>
  <c r="AD21" i="3"/>
  <c r="AE21" i="3" s="1"/>
  <c r="AA21" i="3"/>
  <c r="Y21" i="3"/>
  <c r="C351" i="6"/>
  <c r="D351" i="6" s="1"/>
  <c r="D231" i="9" l="1"/>
  <c r="E351" i="6"/>
  <c r="G351" i="6" s="1"/>
  <c r="E231" i="9" l="1"/>
  <c r="B352" i="6"/>
  <c r="G231" i="9" l="1"/>
  <c r="C352" i="6"/>
  <c r="D352" i="6" s="1"/>
  <c r="B232" i="9" l="1"/>
  <c r="E352" i="6"/>
  <c r="G352" i="6" s="1"/>
  <c r="C232" i="9" l="1"/>
  <c r="B353" i="6"/>
  <c r="D232" i="9" l="1"/>
  <c r="C353" i="6"/>
  <c r="D353" i="6" s="1"/>
  <c r="E232" i="9" l="1"/>
  <c r="E353" i="6"/>
  <c r="G353" i="6" s="1"/>
  <c r="G232" i="9" l="1"/>
  <c r="B354" i="6"/>
  <c r="B233" i="9" l="1"/>
  <c r="C354" i="6"/>
  <c r="D354" i="6" s="1"/>
  <c r="C233" i="9" l="1"/>
  <c r="E354" i="6"/>
  <c r="G354" i="6" s="1"/>
  <c r="D233" i="9" l="1"/>
  <c r="B355" i="6"/>
  <c r="E233" i="9" l="1"/>
  <c r="C355" i="6"/>
  <c r="D355" i="6" s="1"/>
  <c r="G233" i="9" l="1"/>
  <c r="E355" i="6"/>
  <c r="G355" i="6" s="1"/>
  <c r="B234" i="9" l="1"/>
  <c r="B356" i="6"/>
  <c r="C234" i="9" l="1"/>
  <c r="D234" i="9"/>
  <c r="C356" i="6"/>
  <c r="D356" i="6" s="1"/>
  <c r="E234" i="9" l="1"/>
  <c r="E356" i="6"/>
  <c r="G356" i="6" s="1"/>
  <c r="G234" i="9" l="1"/>
  <c r="B357" i="6"/>
  <c r="B235" i="9" l="1"/>
  <c r="C357" i="6"/>
  <c r="D357" i="6" s="1"/>
  <c r="C235" i="9" l="1"/>
  <c r="D235" i="9"/>
  <c r="E357" i="6"/>
  <c r="G357" i="6" s="1"/>
  <c r="E235" i="9" l="1"/>
  <c r="B358" i="6"/>
  <c r="G235" i="9" l="1"/>
  <c r="C358" i="6"/>
  <c r="D358" i="6" s="1"/>
  <c r="B236" i="9" l="1"/>
  <c r="E358" i="6"/>
  <c r="G358" i="6" s="1"/>
  <c r="C236" i="9" l="1"/>
  <c r="B359" i="6"/>
  <c r="D236" i="9" l="1"/>
  <c r="E236" i="9"/>
  <c r="C359" i="6"/>
  <c r="D359" i="6" s="1"/>
  <c r="G236" i="9" l="1"/>
  <c r="E359" i="6"/>
  <c r="G359" i="6" s="1"/>
  <c r="B237" i="9" l="1"/>
  <c r="B360" i="6"/>
  <c r="C237" i="9" l="1"/>
  <c r="C360" i="6"/>
  <c r="D360" i="6" s="1"/>
  <c r="D237" i="9" l="1"/>
  <c r="E360" i="6"/>
  <c r="G360" i="6" s="1"/>
  <c r="E237" i="9" l="1"/>
  <c r="B361" i="6"/>
  <c r="G237" i="9" l="1"/>
  <c r="C361" i="6"/>
  <c r="D361" i="6" s="1"/>
  <c r="B238" i="9" l="1"/>
  <c r="C238" i="9" s="1"/>
  <c r="D238" i="9"/>
  <c r="E361" i="6"/>
  <c r="G361" i="6" s="1"/>
  <c r="E238" i="9" l="1"/>
  <c r="B362" i="6"/>
  <c r="G238" i="9" l="1"/>
  <c r="C362" i="6"/>
  <c r="D362" i="6" s="1"/>
  <c r="B239" i="9" l="1"/>
  <c r="H362" i="6"/>
  <c r="E362" i="6"/>
  <c r="G362" i="6" s="1"/>
  <c r="C239" i="9" l="1"/>
  <c r="D239" i="9"/>
  <c r="B363" i="6"/>
  <c r="R32" i="3"/>
  <c r="E239" i="9" l="1"/>
  <c r="C363" i="6"/>
  <c r="D363" i="6" s="1"/>
  <c r="G239" i="9" l="1"/>
  <c r="E363" i="6"/>
  <c r="G363" i="6" s="1"/>
  <c r="B240" i="9" l="1"/>
  <c r="B364" i="6"/>
  <c r="C240" i="9" l="1"/>
  <c r="C364" i="6"/>
  <c r="D364" i="6" s="1"/>
  <c r="D240" i="9" l="1"/>
  <c r="E364" i="6"/>
  <c r="G364" i="6" s="1"/>
  <c r="E240" i="9" l="1"/>
  <c r="B365" i="6"/>
  <c r="G240" i="9" l="1"/>
  <c r="C365" i="6"/>
  <c r="D365" i="6" s="1"/>
  <c r="B241" i="9" l="1"/>
  <c r="E365" i="6"/>
  <c r="G365" i="6" s="1"/>
  <c r="C241" i="9" l="1"/>
  <c r="B366" i="6"/>
  <c r="D241" i="9" l="1"/>
  <c r="C366" i="6"/>
  <c r="D366" i="6" s="1"/>
  <c r="E241" i="9" l="1"/>
  <c r="E366" i="6"/>
  <c r="G366" i="6" s="1"/>
  <c r="G241" i="9" l="1"/>
  <c r="B367" i="6"/>
  <c r="B242" i="9" l="1"/>
  <c r="C367" i="6"/>
  <c r="D367" i="6" s="1"/>
  <c r="C242" i="9" l="1"/>
  <c r="E367" i="6"/>
  <c r="G367" i="6" s="1"/>
  <c r="D242" i="9" l="1"/>
  <c r="B368" i="6"/>
  <c r="H242" i="9" l="1"/>
  <c r="E242" i="9"/>
  <c r="C368" i="6"/>
  <c r="D368" i="6" s="1"/>
  <c r="G242" i="9" l="1"/>
  <c r="I22" i="3"/>
  <c r="E368" i="6"/>
  <c r="G368" i="6" s="1"/>
  <c r="J22" i="3" l="1"/>
  <c r="W22" i="3"/>
  <c r="B243" i="9"/>
  <c r="S22" i="3"/>
  <c r="T22" i="3" s="1"/>
  <c r="B369" i="6"/>
  <c r="C243" i="9" l="1"/>
  <c r="Y22" i="3"/>
  <c r="AA22" i="3"/>
  <c r="AB22" i="3"/>
  <c r="AC22" i="3" s="1"/>
  <c r="AD22" i="3"/>
  <c r="AE22" i="3" s="1"/>
  <c r="C369" i="6"/>
  <c r="D369" i="6" s="1"/>
  <c r="D243" i="9" l="1"/>
  <c r="E369" i="6"/>
  <c r="G369" i="6" s="1"/>
  <c r="E243" i="9" l="1"/>
  <c r="B370" i="6"/>
  <c r="G243" i="9" l="1"/>
  <c r="C370" i="6"/>
  <c r="D370" i="6" s="1"/>
  <c r="B244" i="9" l="1"/>
  <c r="E370" i="6"/>
  <c r="G370" i="6" s="1"/>
  <c r="C244" i="9" l="1"/>
  <c r="B371" i="6"/>
  <c r="D244" i="9" l="1"/>
  <c r="C371" i="6"/>
  <c r="D371" i="6" s="1"/>
  <c r="E244" i="9" l="1"/>
  <c r="E371" i="6"/>
  <c r="G371" i="6" s="1"/>
  <c r="G244" i="9" l="1"/>
  <c r="B372" i="6"/>
  <c r="B245" i="9" l="1"/>
  <c r="C372" i="6"/>
  <c r="D372" i="6" s="1"/>
  <c r="C245" i="9" l="1"/>
  <c r="E372" i="6"/>
  <c r="G372" i="6" s="1"/>
  <c r="D245" i="9" l="1"/>
  <c r="B373" i="6"/>
  <c r="E245" i="9" l="1"/>
  <c r="C373" i="6"/>
  <c r="D373" i="6" s="1"/>
  <c r="G245" i="9" l="1"/>
  <c r="E373" i="6"/>
  <c r="G373" i="6" s="1"/>
  <c r="B246" i="9" l="1"/>
  <c r="B374" i="6"/>
  <c r="C246" i="9" l="1"/>
  <c r="C374" i="6"/>
  <c r="D374" i="6" s="1"/>
  <c r="D246" i="9" l="1"/>
  <c r="E3" i="6"/>
  <c r="H374" i="6"/>
  <c r="E374" i="6"/>
  <c r="E4" i="6" s="1"/>
  <c r="E6" i="6" s="1"/>
  <c r="E246" i="9" l="1"/>
  <c r="G374" i="6"/>
  <c r="R33" i="3" s="1"/>
  <c r="E2" i="6"/>
  <c r="B9" i="6" s="1"/>
  <c r="E7" i="6"/>
  <c r="E8" i="6" s="1"/>
  <c r="G246" i="9" l="1"/>
  <c r="B247" i="9" l="1"/>
  <c r="C247" i="9" l="1"/>
  <c r="D247" i="9" l="1"/>
  <c r="E247" i="9" l="1"/>
  <c r="G247" i="9" l="1"/>
  <c r="B248" i="9" l="1"/>
  <c r="C248" i="9" l="1"/>
  <c r="D248" i="9" l="1"/>
  <c r="E248" i="9" l="1"/>
  <c r="G248" i="9" l="1"/>
  <c r="B249" i="9" l="1"/>
  <c r="C249" i="9" l="1"/>
  <c r="D249" i="9" l="1"/>
  <c r="E249" i="9" s="1"/>
  <c r="G249" i="9" l="1"/>
  <c r="B250" i="9" l="1"/>
  <c r="C250" i="9" s="1"/>
  <c r="D250" i="9" l="1"/>
  <c r="E250" i="9" l="1"/>
  <c r="G250" i="9" l="1"/>
  <c r="B251" i="9" l="1"/>
  <c r="C251" i="9" l="1"/>
  <c r="D251" i="9"/>
  <c r="E251" i="9" l="1"/>
  <c r="G251" i="9" l="1"/>
  <c r="B252" i="9" l="1"/>
  <c r="C252" i="9" l="1"/>
  <c r="D252" i="9" l="1"/>
  <c r="E252" i="9" l="1"/>
  <c r="G252" i="9" l="1"/>
  <c r="B253" i="9" s="1"/>
  <c r="C253" i="9" l="1"/>
  <c r="D253" i="9" l="1"/>
  <c r="E253" i="9" l="1"/>
  <c r="G253" i="9"/>
  <c r="B254" i="9" l="1"/>
  <c r="C254" i="9" l="1"/>
  <c r="D254" i="9"/>
  <c r="E254" i="9" l="1"/>
  <c r="H254" i="9"/>
  <c r="G254" i="9"/>
  <c r="B255" i="9" l="1"/>
  <c r="S23" i="3"/>
  <c r="T23" i="3" s="1"/>
  <c r="C255" i="9" l="1"/>
  <c r="D255" i="9" l="1"/>
  <c r="E255" i="9" l="1"/>
  <c r="G255" i="9"/>
  <c r="B256" i="9" l="1"/>
  <c r="C256" i="9" l="1"/>
  <c r="D256" i="9" l="1"/>
  <c r="E256" i="9" l="1"/>
  <c r="G256" i="9"/>
  <c r="B257" i="9" s="1"/>
  <c r="C257" i="9" l="1"/>
  <c r="D257" i="9" l="1"/>
  <c r="E257" i="9" l="1"/>
  <c r="G257" i="9" l="1"/>
  <c r="B258" i="9" l="1"/>
  <c r="C258" i="9" l="1"/>
  <c r="D258" i="9" l="1"/>
  <c r="E258" i="9"/>
  <c r="G258" i="9" l="1"/>
  <c r="B259" i="9" l="1"/>
  <c r="C259" i="9" l="1"/>
  <c r="D259" i="9" l="1"/>
  <c r="E259" i="9" s="1"/>
  <c r="G259" i="9" l="1"/>
  <c r="B260" i="9" l="1"/>
  <c r="C260" i="9" l="1"/>
  <c r="D260" i="9" l="1"/>
  <c r="E260" i="9"/>
  <c r="G260" i="9" l="1"/>
  <c r="B261" i="9" l="1"/>
  <c r="C261" i="9" l="1"/>
  <c r="D261" i="9" l="1"/>
  <c r="E261" i="9" l="1"/>
  <c r="G261" i="9" l="1"/>
  <c r="B262" i="9" l="1"/>
  <c r="C262" i="9" l="1"/>
  <c r="D262" i="9" l="1"/>
  <c r="E262" i="9"/>
  <c r="G262" i="9" l="1"/>
  <c r="B263" i="9" l="1"/>
  <c r="C263" i="9" l="1"/>
  <c r="D263" i="9"/>
  <c r="E263" i="9" l="1"/>
  <c r="G263" i="9" l="1"/>
  <c r="B264" i="9" s="1"/>
  <c r="C264" i="9" l="1"/>
  <c r="D264" i="9" l="1"/>
  <c r="E264" i="9" l="1"/>
  <c r="G264" i="9" l="1"/>
  <c r="B265" i="9" l="1"/>
  <c r="C265" i="9" l="1"/>
  <c r="D265" i="9" l="1"/>
  <c r="E265" i="9" l="1"/>
  <c r="G265" i="9" l="1"/>
  <c r="B266" i="9" l="1"/>
  <c r="C266" i="9"/>
  <c r="D266" i="9"/>
  <c r="H266" i="9" l="1"/>
  <c r="E266" i="9"/>
  <c r="G266" i="9" l="1"/>
  <c r="B267" i="9"/>
  <c r="S24" i="3"/>
  <c r="T24" i="3" s="1"/>
  <c r="I24" i="3"/>
  <c r="I23" i="3"/>
  <c r="W24" i="3" l="1"/>
  <c r="W23" i="3"/>
  <c r="J23" i="3"/>
  <c r="J24" i="3" s="1"/>
  <c r="C267" i="9"/>
  <c r="AB24" i="3" l="1"/>
  <c r="AC24" i="3" s="1"/>
  <c r="AD24" i="3"/>
  <c r="AE24" i="3" s="1"/>
  <c r="Y23" i="3"/>
  <c r="AA23" i="3"/>
  <c r="D267" i="9"/>
  <c r="AD23" i="3"/>
  <c r="AE23" i="3" s="1"/>
  <c r="AB23" i="3"/>
  <c r="AC23" i="3" s="1"/>
  <c r="Y24" i="3"/>
  <c r="AA24" i="3"/>
  <c r="E267" i="9" l="1"/>
  <c r="G267" i="9" l="1"/>
  <c r="B268" i="9" l="1"/>
  <c r="C268" i="9" l="1"/>
  <c r="D268" i="9"/>
  <c r="E268" i="9" s="1"/>
  <c r="G268" i="9" l="1"/>
  <c r="B269" i="9" l="1"/>
  <c r="C269" i="9" l="1"/>
  <c r="D269" i="9" l="1"/>
  <c r="E269" i="9" l="1"/>
  <c r="G269" i="9"/>
  <c r="B270" i="9" l="1"/>
  <c r="C270" i="9" l="1"/>
  <c r="D270" i="9" l="1"/>
  <c r="E270" i="9" l="1"/>
  <c r="G270" i="9"/>
  <c r="B271" i="9" l="1"/>
  <c r="C271" i="9" l="1"/>
  <c r="D271" i="9"/>
  <c r="E271" i="9" l="1"/>
  <c r="G271" i="9" l="1"/>
  <c r="B272" i="9" l="1"/>
  <c r="C272" i="9" l="1"/>
  <c r="D272" i="9"/>
  <c r="E272" i="9" l="1"/>
  <c r="G272" i="9" l="1"/>
  <c r="B273" i="9" l="1"/>
  <c r="C273" i="9" l="1"/>
  <c r="D273" i="9"/>
  <c r="E273" i="9" l="1"/>
  <c r="G273" i="9" l="1"/>
  <c r="B274" i="9" l="1"/>
  <c r="C274" i="9" l="1"/>
  <c r="D274" i="9" l="1"/>
  <c r="E274" i="9" l="1"/>
  <c r="G274" i="9" l="1"/>
  <c r="B275" i="9"/>
  <c r="C275" i="9" l="1"/>
  <c r="D275" i="9"/>
  <c r="E275" i="9" l="1"/>
  <c r="G275" i="9" l="1"/>
  <c r="B276" i="9" l="1"/>
  <c r="C276" i="9" l="1"/>
  <c r="D276" i="9"/>
  <c r="E276" i="9" l="1"/>
  <c r="G276" i="9" l="1"/>
  <c r="B277" i="9" l="1"/>
  <c r="C277" i="9" l="1"/>
  <c r="D277" i="9"/>
  <c r="E277" i="9" l="1"/>
  <c r="G277" i="9" l="1"/>
  <c r="B278" i="9" l="1"/>
  <c r="C278" i="9" l="1"/>
  <c r="D278" i="9"/>
  <c r="H278" i="9" l="1"/>
  <c r="E278" i="9"/>
  <c r="I25" i="3" l="1"/>
  <c r="G278" i="9"/>
  <c r="B279" i="9" l="1"/>
  <c r="S25" i="3"/>
  <c r="T25" i="3" s="1"/>
  <c r="J25" i="3"/>
  <c r="W25" i="3"/>
  <c r="AA25" i="3" l="1"/>
  <c r="Y25" i="3"/>
  <c r="AD25" i="3"/>
  <c r="AE25" i="3" s="1"/>
  <c r="AB25" i="3"/>
  <c r="AC25" i="3" s="1"/>
  <c r="C279" i="9"/>
  <c r="D279" i="9" l="1"/>
  <c r="E279" i="9" l="1"/>
  <c r="G279" i="9" l="1"/>
  <c r="B280" i="9" l="1"/>
  <c r="C280" i="9" l="1"/>
  <c r="D280" i="9" l="1"/>
  <c r="E280" i="9"/>
  <c r="G280" i="9" l="1"/>
  <c r="B281" i="9" l="1"/>
  <c r="C281" i="9" s="1"/>
  <c r="D281" i="9"/>
  <c r="E281" i="9" l="1"/>
  <c r="G281" i="9" l="1"/>
  <c r="B282" i="9"/>
  <c r="C282" i="9" l="1"/>
  <c r="D282" i="9"/>
  <c r="E282" i="9" l="1"/>
  <c r="G282" i="9"/>
  <c r="B283" i="9" l="1"/>
  <c r="C283" i="9" l="1"/>
  <c r="D283" i="9" l="1"/>
  <c r="E283" i="9" l="1"/>
  <c r="G283" i="9" l="1"/>
  <c r="B284" i="9" l="1"/>
  <c r="C284" i="9"/>
  <c r="D284" i="9"/>
  <c r="E284" i="9" l="1"/>
  <c r="G284" i="9" l="1"/>
  <c r="B285" i="9" l="1"/>
  <c r="C285" i="9" l="1"/>
  <c r="D285" i="9" l="1"/>
  <c r="E285" i="9" l="1"/>
  <c r="G285" i="9" l="1"/>
  <c r="B286" i="9" l="1"/>
  <c r="C286" i="9" l="1"/>
  <c r="D286" i="9"/>
  <c r="E286" i="9" l="1"/>
  <c r="G286" i="9" l="1"/>
  <c r="B287" i="9" l="1"/>
  <c r="C287" i="9" l="1"/>
  <c r="D287" i="9" l="1"/>
  <c r="E287" i="9" l="1"/>
  <c r="G287" i="9" l="1"/>
  <c r="B288" i="9" l="1"/>
  <c r="C288" i="9" l="1"/>
  <c r="D288" i="9"/>
  <c r="E288" i="9" l="1"/>
  <c r="G288" i="9" l="1"/>
  <c r="B289" i="9" l="1"/>
  <c r="C289" i="9" l="1"/>
  <c r="D289" i="9" l="1"/>
  <c r="E289" i="9" l="1"/>
  <c r="G289" i="9" l="1"/>
  <c r="B290" i="9" l="1"/>
  <c r="C290" i="9" l="1"/>
  <c r="D290" i="9"/>
  <c r="E290" i="9" l="1"/>
  <c r="H290" i="9"/>
  <c r="I26" i="3" l="1"/>
  <c r="G290" i="9"/>
  <c r="J26" i="3" l="1"/>
  <c r="W26" i="3"/>
  <c r="S26" i="3"/>
  <c r="T26" i="3" s="1"/>
  <c r="B291" i="9"/>
  <c r="AA26" i="3" l="1"/>
  <c r="Y26" i="3"/>
  <c r="C291" i="9"/>
  <c r="AD26" i="3"/>
  <c r="AE26" i="3" s="1"/>
  <c r="AB26" i="3"/>
  <c r="AC26" i="3" s="1"/>
  <c r="D291" i="9" l="1"/>
  <c r="E291" i="9" l="1"/>
  <c r="G291" i="9"/>
  <c r="B292" i="9" l="1"/>
  <c r="C292" i="9" l="1"/>
  <c r="D292" i="9" l="1"/>
  <c r="E292" i="9" l="1"/>
  <c r="G292" i="9" l="1"/>
  <c r="B293" i="9" l="1"/>
  <c r="C293" i="9" l="1"/>
  <c r="D293" i="9"/>
  <c r="E293" i="9" l="1"/>
  <c r="G293" i="9"/>
  <c r="B294" i="9" l="1"/>
  <c r="C294" i="9" l="1"/>
  <c r="D294" i="9"/>
  <c r="E294" i="9" l="1"/>
  <c r="G294" i="9" l="1"/>
  <c r="B295" i="9" s="1"/>
  <c r="C295" i="9" l="1"/>
  <c r="D295" i="9" l="1"/>
  <c r="E295" i="9" l="1"/>
  <c r="G295" i="9" l="1"/>
  <c r="B296" i="9" l="1"/>
  <c r="C296" i="9" s="1"/>
  <c r="D296" i="9" l="1"/>
  <c r="E296" i="9" l="1"/>
  <c r="G296" i="9" l="1"/>
  <c r="B297" i="9" l="1"/>
  <c r="C297" i="9" l="1"/>
  <c r="D297" i="9"/>
  <c r="E297" i="9" l="1"/>
  <c r="G297" i="9" l="1"/>
  <c r="B298" i="9" l="1"/>
  <c r="C298" i="9" l="1"/>
  <c r="D298" i="9" l="1"/>
  <c r="E298" i="9" l="1"/>
  <c r="G298" i="9" l="1"/>
  <c r="B299" i="9" l="1"/>
  <c r="C299" i="9" l="1"/>
  <c r="D299" i="9" l="1"/>
  <c r="E299" i="9" l="1"/>
  <c r="G299" i="9" l="1"/>
  <c r="B300" i="9"/>
  <c r="C300" i="9" l="1"/>
  <c r="D300" i="9"/>
  <c r="E300" i="9" l="1"/>
  <c r="G300" i="9" l="1"/>
  <c r="B301" i="9" l="1"/>
  <c r="C301" i="9" s="1"/>
  <c r="D301" i="9" l="1"/>
  <c r="E301" i="9" l="1"/>
  <c r="G301" i="9" l="1"/>
  <c r="B302" i="9" l="1"/>
  <c r="C302" i="9" l="1"/>
  <c r="D302" i="9" l="1"/>
  <c r="E302" i="9" l="1"/>
  <c r="H302" i="9"/>
  <c r="G302" i="9"/>
  <c r="B303" i="9" l="1"/>
  <c r="S27" i="3"/>
  <c r="T27" i="3" s="1"/>
  <c r="I27" i="3"/>
  <c r="J27" i="3" l="1"/>
  <c r="W27" i="3"/>
  <c r="C303" i="9"/>
  <c r="Y27" i="3" l="1"/>
  <c r="AA27" i="3"/>
  <c r="D303" i="9"/>
  <c r="AB27" i="3"/>
  <c r="AC27" i="3" s="1"/>
  <c r="AD27" i="3"/>
  <c r="AE27" i="3" s="1"/>
  <c r="E303" i="9" l="1"/>
  <c r="G303" i="9"/>
  <c r="B304" i="9" l="1"/>
  <c r="C304" i="9" l="1"/>
  <c r="D304" i="9" l="1"/>
  <c r="E304" i="9" l="1"/>
  <c r="G304" i="9" l="1"/>
  <c r="B305" i="9"/>
  <c r="C305" i="9" l="1"/>
  <c r="D305" i="9"/>
  <c r="E305" i="9" l="1"/>
  <c r="G305" i="9"/>
  <c r="B306" i="9" s="1"/>
  <c r="C306" i="9" l="1"/>
  <c r="D306" i="9"/>
  <c r="E306" i="9" l="1"/>
  <c r="G306" i="9" l="1"/>
  <c r="B307" i="9" s="1"/>
  <c r="C307" i="9" l="1"/>
  <c r="D307" i="9" l="1"/>
  <c r="E307" i="9" l="1"/>
  <c r="G307" i="9" l="1"/>
  <c r="B308" i="9"/>
  <c r="C308" i="9" l="1"/>
  <c r="D308" i="9"/>
  <c r="E308" i="9" l="1"/>
  <c r="G308" i="9" l="1"/>
  <c r="B309" i="9" s="1"/>
  <c r="C309" i="9" l="1"/>
  <c r="D309" i="9" l="1"/>
  <c r="E309" i="9" l="1"/>
  <c r="G309" i="9"/>
  <c r="B310" i="9" l="1"/>
  <c r="C310" i="9"/>
  <c r="D310" i="9" l="1"/>
  <c r="E310" i="9" l="1"/>
  <c r="G310" i="9" l="1"/>
  <c r="B311" i="9" l="1"/>
  <c r="C311" i="9" l="1"/>
  <c r="D311" i="9" l="1"/>
  <c r="E311" i="9" l="1"/>
  <c r="G311" i="9" l="1"/>
  <c r="B312" i="9" l="1"/>
  <c r="C312" i="9" l="1"/>
  <c r="D312" i="9"/>
  <c r="E312" i="9" s="1"/>
  <c r="G312" i="9" l="1"/>
  <c r="B313" i="9" s="1"/>
  <c r="C313" i="9" l="1"/>
  <c r="D313" i="9" l="1"/>
  <c r="E313" i="9"/>
  <c r="G313" i="9" l="1"/>
  <c r="B314" i="9" l="1"/>
  <c r="C314" i="9" l="1"/>
  <c r="D314" i="9"/>
  <c r="E314" i="9" l="1"/>
  <c r="H314" i="9"/>
  <c r="I28" i="3" l="1"/>
  <c r="G314" i="9"/>
  <c r="B315" i="9" l="1"/>
  <c r="S28" i="3"/>
  <c r="T28" i="3" s="1"/>
  <c r="W28" i="3"/>
  <c r="J28" i="3"/>
  <c r="AA28" i="3" l="1"/>
  <c r="Y28" i="3"/>
  <c r="AD28" i="3"/>
  <c r="AE28" i="3" s="1"/>
  <c r="AB28" i="3"/>
  <c r="AC28" i="3" s="1"/>
  <c r="C315" i="9"/>
  <c r="D315" i="9" l="1"/>
  <c r="E315" i="9" l="1"/>
  <c r="G315" i="9" l="1"/>
  <c r="B316" i="9" l="1"/>
  <c r="C316" i="9" l="1"/>
  <c r="D316" i="9" l="1"/>
  <c r="E316" i="9" l="1"/>
  <c r="G316" i="9" l="1"/>
  <c r="B317" i="9" l="1"/>
  <c r="C317" i="9" l="1"/>
  <c r="D317" i="9"/>
  <c r="E317" i="9" l="1"/>
  <c r="G317" i="9" l="1"/>
  <c r="B318" i="9" l="1"/>
  <c r="C318" i="9" l="1"/>
  <c r="D318" i="9" l="1"/>
  <c r="E318" i="9" l="1"/>
  <c r="G318" i="9"/>
  <c r="B319" i="9" l="1"/>
  <c r="C319" i="9" l="1"/>
  <c r="D319" i="9" l="1"/>
  <c r="E319" i="9" l="1"/>
  <c r="G319" i="9" l="1"/>
  <c r="B320" i="9" s="1"/>
  <c r="C320" i="9" l="1"/>
  <c r="D320" i="9"/>
  <c r="E320" i="9" l="1"/>
  <c r="G320" i="9"/>
  <c r="B321" i="9" l="1"/>
  <c r="C321" i="9" l="1"/>
  <c r="D321" i="9" l="1"/>
  <c r="E321" i="9" l="1"/>
  <c r="G321" i="9"/>
  <c r="B322" i="9" l="1"/>
  <c r="C322" i="9" l="1"/>
  <c r="D322" i="9" l="1"/>
  <c r="E322" i="9" l="1"/>
  <c r="G322" i="9" l="1"/>
  <c r="B323" i="9" l="1"/>
  <c r="C323" i="9" l="1"/>
  <c r="D323" i="9" l="1"/>
  <c r="E323" i="9" l="1"/>
  <c r="G323" i="9" l="1"/>
  <c r="B324" i="9" l="1"/>
  <c r="C324" i="9" l="1"/>
  <c r="D324" i="9" l="1"/>
  <c r="E324" i="9" l="1"/>
  <c r="G324" i="9"/>
  <c r="B325" i="9" l="1"/>
  <c r="C325" i="9" l="1"/>
  <c r="D325" i="9" l="1"/>
  <c r="E325" i="9" l="1"/>
  <c r="G325" i="9" l="1"/>
  <c r="B326" i="9" l="1"/>
  <c r="C326" i="9"/>
  <c r="D326" i="9" l="1"/>
  <c r="H326" i="9"/>
  <c r="E326" i="9"/>
  <c r="I29" i="3" l="1"/>
  <c r="G326" i="9"/>
  <c r="W29" i="3" l="1"/>
  <c r="J29" i="3"/>
  <c r="S29" i="3"/>
  <c r="T29" i="3" s="1"/>
  <c r="B327" i="9"/>
  <c r="C327" i="9" l="1"/>
  <c r="AD29" i="3"/>
  <c r="AE29" i="3" s="1"/>
  <c r="AB29" i="3"/>
  <c r="AC29" i="3" s="1"/>
  <c r="Y29" i="3"/>
  <c r="AA29" i="3"/>
  <c r="D327" i="9" l="1"/>
  <c r="E327" i="9" l="1"/>
  <c r="G327" i="9"/>
  <c r="B328" i="9" l="1"/>
  <c r="C328" i="9" l="1"/>
  <c r="D328" i="9" l="1"/>
  <c r="E328" i="9" l="1"/>
  <c r="G328" i="9"/>
  <c r="B329" i="9" l="1"/>
  <c r="C329" i="9" l="1"/>
  <c r="D329" i="9" l="1"/>
  <c r="E329" i="9" l="1"/>
  <c r="G329" i="9" l="1"/>
  <c r="B330" i="9"/>
  <c r="C330" i="9" l="1"/>
  <c r="D330" i="9" l="1"/>
  <c r="E330" i="9" l="1"/>
  <c r="G330" i="9" l="1"/>
  <c r="B331" i="9" l="1"/>
  <c r="C331" i="9" l="1"/>
  <c r="D331" i="9" l="1"/>
  <c r="E331" i="9"/>
  <c r="G331" i="9" l="1"/>
  <c r="B332" i="9"/>
  <c r="C332" i="9" l="1"/>
  <c r="D332" i="9" l="1"/>
  <c r="E332" i="9" l="1"/>
  <c r="G332" i="9" l="1"/>
  <c r="B333" i="9" l="1"/>
  <c r="C333" i="9" l="1"/>
  <c r="D333" i="9" l="1"/>
  <c r="E333" i="9" l="1"/>
  <c r="G333" i="9" l="1"/>
  <c r="B334" i="9" l="1"/>
  <c r="C334" i="9"/>
  <c r="D334" i="9" l="1"/>
  <c r="E334" i="9" l="1"/>
  <c r="G334" i="9" l="1"/>
  <c r="B335" i="9" l="1"/>
  <c r="C335" i="9" l="1"/>
  <c r="D335" i="9" l="1"/>
  <c r="E335" i="9" l="1"/>
  <c r="G335" i="9" l="1"/>
  <c r="B336" i="9" l="1"/>
  <c r="C336" i="9" l="1"/>
  <c r="D336" i="9" l="1"/>
  <c r="E336" i="9" l="1"/>
  <c r="G336" i="9"/>
  <c r="B337" i="9" l="1"/>
  <c r="C337" i="9" l="1"/>
  <c r="D337" i="9" l="1"/>
  <c r="E337" i="9" l="1"/>
  <c r="G337" i="9" l="1"/>
  <c r="B338" i="9" l="1"/>
  <c r="C338" i="9" l="1"/>
  <c r="D338" i="9" l="1"/>
  <c r="H338" i="9" l="1"/>
  <c r="E338" i="9"/>
  <c r="G338" i="9" l="1"/>
  <c r="I30" i="3"/>
  <c r="J30" i="3" l="1"/>
  <c r="W30" i="3"/>
  <c r="B339" i="9"/>
  <c r="S30" i="3"/>
  <c r="T30" i="3" s="1"/>
  <c r="C339" i="9" l="1"/>
  <c r="Y30" i="3"/>
  <c r="AA30" i="3"/>
  <c r="AB30" i="3"/>
  <c r="AC30" i="3" s="1"/>
  <c r="AD30" i="3"/>
  <c r="AE30" i="3" s="1"/>
  <c r="D339" i="9" l="1"/>
  <c r="E339" i="9" l="1"/>
  <c r="G339" i="9" l="1"/>
  <c r="B340" i="9" l="1"/>
  <c r="C340" i="9" l="1"/>
  <c r="D340" i="9" l="1"/>
  <c r="E340" i="9" s="1"/>
  <c r="G340" i="9" l="1"/>
  <c r="B341" i="9" l="1"/>
  <c r="C341" i="9"/>
  <c r="D341" i="9" l="1"/>
  <c r="E341" i="9" l="1"/>
  <c r="G341" i="9" l="1"/>
  <c r="B342" i="9" l="1"/>
  <c r="C342" i="9" l="1"/>
  <c r="D342" i="9" l="1"/>
  <c r="E342" i="9"/>
  <c r="G342" i="9" l="1"/>
  <c r="B343" i="9" l="1"/>
  <c r="C343" i="9"/>
  <c r="D343" i="9"/>
  <c r="E343" i="9" l="1"/>
  <c r="G343" i="9"/>
  <c r="B344" i="9" l="1"/>
  <c r="C344" i="9" l="1"/>
  <c r="D344" i="9" l="1"/>
  <c r="E344" i="9" l="1"/>
  <c r="G344" i="9" l="1"/>
  <c r="B345" i="9" l="1"/>
  <c r="C345" i="9" l="1"/>
  <c r="D345" i="9" l="1"/>
  <c r="E345" i="9" l="1"/>
  <c r="G345" i="9"/>
  <c r="B346" i="9" l="1"/>
  <c r="C346" i="9" l="1"/>
  <c r="D346" i="9" l="1"/>
  <c r="E346" i="9" l="1"/>
  <c r="G346" i="9" l="1"/>
  <c r="B347" i="9" l="1"/>
  <c r="C347" i="9" l="1"/>
  <c r="D347" i="9" l="1"/>
  <c r="E347" i="9" l="1"/>
  <c r="G347" i="9" l="1"/>
  <c r="B348" i="9" l="1"/>
  <c r="C348" i="9" l="1"/>
  <c r="D348" i="9" l="1"/>
  <c r="E348" i="9" l="1"/>
  <c r="G348" i="9" l="1"/>
  <c r="B349" i="9" l="1"/>
  <c r="C349" i="9" l="1"/>
  <c r="D349" i="9" l="1"/>
  <c r="E349" i="9" l="1"/>
  <c r="G349" i="9" l="1"/>
  <c r="B350" i="9" s="1"/>
  <c r="C350" i="9" l="1"/>
  <c r="D350" i="9" l="1"/>
  <c r="H350" i="9"/>
  <c r="E350" i="9" l="1"/>
  <c r="G350" i="9"/>
  <c r="S31" i="3" s="1"/>
  <c r="T31" i="3" s="1"/>
  <c r="I31" i="3"/>
  <c r="B351" i="9" l="1"/>
  <c r="C351" i="9"/>
  <c r="W31" i="3"/>
  <c r="J31" i="3"/>
  <c r="AD31" i="3" l="1"/>
  <c r="AE31" i="3" s="1"/>
  <c r="AB31" i="3"/>
  <c r="AC31" i="3" s="1"/>
  <c r="Y31" i="3"/>
  <c r="AA31" i="3"/>
  <c r="D351" i="9"/>
  <c r="E351" i="9" l="1"/>
  <c r="G351" i="9" l="1"/>
  <c r="B352" i="9" l="1"/>
  <c r="C352" i="9" l="1"/>
  <c r="D352" i="9" l="1"/>
  <c r="E352" i="9" l="1"/>
  <c r="G352" i="9" l="1"/>
  <c r="B353" i="9" l="1"/>
  <c r="C353" i="9" l="1"/>
  <c r="D353" i="9" l="1"/>
  <c r="E353" i="9" l="1"/>
  <c r="G353" i="9"/>
  <c r="B354" i="9" l="1"/>
  <c r="C354" i="9"/>
  <c r="D354" i="9" l="1"/>
  <c r="E354" i="9" l="1"/>
  <c r="G354" i="9" l="1"/>
  <c r="B355" i="9" l="1"/>
  <c r="C355" i="9" l="1"/>
  <c r="D355" i="9" l="1"/>
  <c r="E355" i="9" l="1"/>
  <c r="G355" i="9" l="1"/>
  <c r="B356" i="9" s="1"/>
  <c r="C356" i="9" l="1"/>
  <c r="D356" i="9" l="1"/>
  <c r="E356" i="9" l="1"/>
  <c r="G356" i="9" l="1"/>
  <c r="B357" i="9"/>
  <c r="C357" i="9" l="1"/>
  <c r="D357" i="9" l="1"/>
  <c r="E357" i="9"/>
  <c r="G357" i="9" l="1"/>
  <c r="B358" i="9" l="1"/>
  <c r="C358" i="9" l="1"/>
  <c r="D358" i="9" l="1"/>
  <c r="E358" i="9" l="1"/>
  <c r="G358" i="9" l="1"/>
  <c r="B359" i="9" l="1"/>
  <c r="C359" i="9" l="1"/>
  <c r="D359" i="9" l="1"/>
  <c r="E359" i="9" l="1"/>
  <c r="G359" i="9"/>
  <c r="B360" i="9" l="1"/>
  <c r="C360" i="9" l="1"/>
  <c r="D360" i="9" l="1"/>
  <c r="E360" i="9" l="1"/>
  <c r="G360" i="9" l="1"/>
  <c r="B361" i="9" l="1"/>
  <c r="C361" i="9" l="1"/>
  <c r="D361" i="9" l="1"/>
  <c r="E361" i="9" l="1"/>
  <c r="G361" i="9" l="1"/>
  <c r="B362" i="9" l="1"/>
  <c r="C362" i="9" l="1"/>
  <c r="D362" i="9" l="1"/>
  <c r="H362" i="9" l="1"/>
  <c r="E362" i="9"/>
  <c r="G362" i="9"/>
  <c r="S32" i="3" l="1"/>
  <c r="T32" i="3" s="1"/>
  <c r="B363" i="9"/>
  <c r="I32" i="3"/>
  <c r="J32" i="3" l="1"/>
  <c r="W32" i="3"/>
  <c r="C363" i="9"/>
  <c r="D363" i="9" l="1"/>
  <c r="Y32" i="3"/>
  <c r="AA32" i="3"/>
  <c r="AB32" i="3"/>
  <c r="AC32" i="3" s="1"/>
  <c r="AD32" i="3"/>
  <c r="AE32" i="3" s="1"/>
  <c r="E363" i="9" l="1"/>
  <c r="G363" i="9"/>
  <c r="B364" i="9" l="1"/>
  <c r="C364" i="9" s="1"/>
  <c r="D364" i="9" l="1"/>
  <c r="E364" i="9" s="1"/>
  <c r="G364" i="9" l="1"/>
  <c r="B365" i="9"/>
  <c r="C365" i="9" l="1"/>
  <c r="D365" i="9" l="1"/>
  <c r="E365" i="9" l="1"/>
  <c r="G365" i="9" l="1"/>
  <c r="B366" i="9" l="1"/>
  <c r="C366" i="9"/>
  <c r="D366" i="9" l="1"/>
  <c r="E366" i="9"/>
  <c r="G366" i="9" l="1"/>
  <c r="B367" i="9"/>
  <c r="C367" i="9" l="1"/>
  <c r="D367" i="9" l="1"/>
  <c r="E367" i="9" l="1"/>
  <c r="G367" i="9" l="1"/>
  <c r="B368" i="9" l="1"/>
  <c r="C368" i="9" s="1"/>
  <c r="D368" i="9" l="1"/>
  <c r="E368" i="9" l="1"/>
  <c r="G368" i="9"/>
  <c r="B369" i="9" l="1"/>
  <c r="C369" i="9"/>
  <c r="D369" i="9" l="1"/>
  <c r="E369" i="9"/>
  <c r="G369" i="9" l="1"/>
  <c r="B370" i="9"/>
  <c r="C370" i="9" l="1"/>
  <c r="D370" i="9" l="1"/>
  <c r="E370" i="9" s="1"/>
  <c r="G370" i="9" l="1"/>
  <c r="B371" i="9" l="1"/>
  <c r="C371" i="9" l="1"/>
  <c r="D371" i="9" l="1"/>
  <c r="E371" i="9" s="1"/>
  <c r="G371" i="9" l="1"/>
  <c r="B372" i="9" l="1"/>
  <c r="C372" i="9" l="1"/>
  <c r="D372" i="9" l="1"/>
  <c r="E372" i="9" l="1"/>
  <c r="G372" i="9"/>
  <c r="B373" i="9" l="1"/>
  <c r="C373" i="9" l="1"/>
  <c r="D373" i="9" l="1"/>
  <c r="E373" i="9" l="1"/>
  <c r="G373" i="9" l="1"/>
  <c r="B374" i="9" l="1"/>
  <c r="C374" i="9" l="1"/>
  <c r="D374" i="9" l="1"/>
  <c r="E3" i="9" l="1"/>
  <c r="H374" i="9"/>
  <c r="E374" i="9"/>
  <c r="E4" i="9" l="1"/>
  <c r="E6" i="9" s="1"/>
  <c r="G374" i="9"/>
  <c r="I33" i="3"/>
  <c r="J33" i="3" l="1"/>
  <c r="W33" i="3"/>
  <c r="E2" i="9"/>
  <c r="B9" i="9" s="1"/>
  <c r="S33" i="3"/>
  <c r="T33" i="3" s="1"/>
  <c r="E7" i="9"/>
  <c r="E8" i="9" s="1"/>
  <c r="AA33" i="3" l="1"/>
  <c r="Y33" i="3"/>
  <c r="AD33" i="3"/>
  <c r="AE33" i="3" s="1"/>
  <c r="J34" i="3"/>
  <c r="AB33" i="3"/>
  <c r="AC33"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Steve</author>
    <author>Windows User</author>
  </authors>
  <commentList>
    <comment ref="B18" authorId="0" shapeId="0" xr:uid="{218BAD2D-68B3-4C1D-B0D5-DAFA85A9A721}">
      <text>
        <r>
          <rPr>
            <b/>
            <sz val="9"/>
            <color indexed="81"/>
            <rFont val="Tahoma"/>
            <charset val="1"/>
          </rPr>
          <t>Steve:</t>
        </r>
        <r>
          <rPr>
            <sz val="9"/>
            <color indexed="81"/>
            <rFont val="Tahoma"/>
            <charset val="1"/>
          </rPr>
          <t xml:space="preserve">
use this if you plan to use a loan from your policy or somewhere else to reduce the cash out of pocket for the down payment</t>
        </r>
      </text>
    </comment>
    <comment ref="J27" authorId="0" shapeId="0" xr:uid="{5AF2D82F-79F4-49AB-B6EE-A7862CAE1271}">
      <text>
        <r>
          <rPr>
            <b/>
            <sz val="9"/>
            <color indexed="81"/>
            <rFont val="Tahoma"/>
            <family val="2"/>
          </rPr>
          <t>Steve:</t>
        </r>
        <r>
          <rPr>
            <sz val="9"/>
            <color indexed="81"/>
            <rFont val="Tahoma"/>
            <family val="2"/>
          </rPr>
          <t xml:space="preserve">
27 year strainght line
20% tax bracket</t>
        </r>
      </text>
    </comment>
    <comment ref="H59" authorId="0" shapeId="0" xr:uid="{B5D5F3E9-134F-4ECF-972A-1316969665CB}">
      <text>
        <r>
          <rPr>
            <b/>
            <sz val="9"/>
            <color indexed="81"/>
            <rFont val="Tahoma"/>
            <family val="2"/>
          </rPr>
          <t>Steve:</t>
        </r>
        <r>
          <rPr>
            <sz val="9"/>
            <color indexed="81"/>
            <rFont val="Tahoma"/>
            <family val="2"/>
          </rPr>
          <t xml:space="preserve">
If you want to add each month to paydown the loan faster using the tenant's money insert the amount here. This applies to the 1st Mortgage loan only.
To see what year the loan pays off look at the Loan Amortization tab.</t>
        </r>
      </text>
    </comment>
    <comment ref="B73" authorId="1" shapeId="0" xr:uid="{00000000-0006-0000-0100-000001000000}">
      <text>
        <r>
          <rPr>
            <b/>
            <sz val="9"/>
            <color indexed="81"/>
            <rFont val="Tahoma"/>
            <family val="2"/>
          </rPr>
          <t>Windows User:</t>
        </r>
        <r>
          <rPr>
            <sz val="9"/>
            <color indexed="81"/>
            <rFont val="Tahoma"/>
            <family val="2"/>
          </rPr>
          <t xml:space="preserve">
Total Profit if Sold = 
(Property Value - Mortgage Balance -Total Cash Invested) - (Property Value x 8% cost to sell).</t>
        </r>
      </text>
    </comment>
    <comment ref="B75" authorId="1" shapeId="0" xr:uid="{343BC161-7422-4249-B2E9-971AB95B0F37}">
      <text>
        <r>
          <rPr>
            <b/>
            <sz val="9"/>
            <color indexed="81"/>
            <rFont val="Tahoma"/>
            <family val="2"/>
          </rPr>
          <t>Windows User:</t>
        </r>
        <r>
          <rPr>
            <sz val="9"/>
            <color indexed="81"/>
            <rFont val="Tahoma"/>
            <family val="2"/>
          </rPr>
          <t xml:space="preserve">
IRR Calculation assumes home is sold at years 5, 10, and 15 respectively.</t>
        </r>
      </text>
    </comment>
    <comment ref="B76" authorId="1" shapeId="0" xr:uid="{00000000-0006-0000-0100-000003000000}">
      <text>
        <r>
          <rPr>
            <sz val="9"/>
            <color indexed="81"/>
            <rFont val="Tahoma"/>
            <family val="2"/>
          </rPr>
          <t xml:space="preserve">Calculation =
(Annual Debt Pay Down + Annual Appreciation + Annual Cash Flow)/ (Total Cash In)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jpapasan</author>
  </authors>
  <commentList>
    <comment ref="B3" authorId="0" shapeId="0" xr:uid="{00000000-0006-0000-0300-000002000000}">
      <text>
        <r>
          <rPr>
            <b/>
            <sz val="9"/>
            <color indexed="81"/>
            <rFont val="Tahoma"/>
            <family val="2"/>
          </rPr>
          <t xml:space="preserve">Rate from Analysis Worksheet Cell C57
</t>
        </r>
      </text>
    </comment>
    <comment ref="D3" authorId="0" shapeId="0" xr:uid="{00000000-0006-0000-0300-000003000000}">
      <text>
        <r>
          <rPr>
            <b/>
            <sz val="9"/>
            <color indexed="81"/>
            <rFont val="Tahoma"/>
            <family val="2"/>
          </rPr>
          <t xml:space="preserve">Rate from Analysis Worksheet Cell C28
</t>
        </r>
      </text>
    </comment>
    <comment ref="E3" authorId="0" shapeId="0" xr:uid="{00000000-0006-0000-0300-000004000000}">
      <text>
        <r>
          <rPr>
            <b/>
            <sz val="9"/>
            <color indexed="81"/>
            <rFont val="Tahoma"/>
            <family val="2"/>
          </rPr>
          <t>jpapasan:</t>
        </r>
        <r>
          <rPr>
            <sz val="9"/>
            <color indexed="81"/>
            <rFont val="Tahoma"/>
            <family val="2"/>
          </rPr>
          <t xml:space="preserve">
Gross Rent - Vacancy</t>
        </r>
      </text>
    </comment>
    <comment ref="K3" authorId="0" shapeId="0" xr:uid="{00000000-0006-0000-0300-000006000000}">
      <text>
        <r>
          <rPr>
            <b/>
            <sz val="9"/>
            <color indexed="81"/>
            <rFont val="Tahoma"/>
            <family val="2"/>
          </rPr>
          <t>jpapasan:</t>
        </r>
        <r>
          <rPr>
            <sz val="9"/>
            <color indexed="81"/>
            <rFont val="Tahoma"/>
            <family val="2"/>
          </rPr>
          <t xml:space="preserve">
Net Operating Income - Debt Pay Down - Interest Paid</t>
        </r>
      </text>
    </comment>
    <comment ref="W3" authorId="0" shapeId="0" xr:uid="{00000000-0006-0000-0300-000007000000}">
      <text>
        <r>
          <rPr>
            <b/>
            <sz val="9"/>
            <color indexed="81"/>
            <rFont val="Tahoma"/>
            <family val="2"/>
          </rPr>
          <t>jpapasan:</t>
        </r>
        <r>
          <rPr>
            <sz val="9"/>
            <color indexed="81"/>
            <rFont val="Tahoma"/>
            <family val="2"/>
          </rPr>
          <t xml:space="preserve">
Annual Debt Pay Down + Annual Appreciation + Annual Cash Flow</t>
        </r>
      </text>
    </comment>
    <comment ref="Y3" authorId="0" shapeId="0" xr:uid="{00000000-0006-0000-0300-000008000000}">
      <text>
        <r>
          <rPr>
            <b/>
            <sz val="9"/>
            <color indexed="81"/>
            <rFont val="Tahoma"/>
            <family val="2"/>
          </rPr>
          <t>jpapasan:</t>
        </r>
        <r>
          <rPr>
            <sz val="9"/>
            <color indexed="81"/>
            <rFont val="Tahoma"/>
            <family val="2"/>
          </rPr>
          <t xml:space="preserve">
Annual ROI for Debt Pay Down + Appreciation + Cash Flow / Total Cash In</t>
        </r>
      </text>
    </comment>
    <comment ref="Z3" authorId="0" shapeId="0" xr:uid="{00000000-0006-0000-0300-000009000000}">
      <text>
        <r>
          <rPr>
            <b/>
            <sz val="9"/>
            <color indexed="81"/>
            <rFont val="Tahoma"/>
            <family val="2"/>
          </rPr>
          <t>jpapasan:</t>
        </r>
        <r>
          <rPr>
            <sz val="9"/>
            <color indexed="81"/>
            <rFont val="Tahoma"/>
            <family val="2"/>
          </rPr>
          <t xml:space="preserve">
Cash Flow only</t>
        </r>
      </text>
    </comment>
    <comment ref="AA3" authorId="0" shapeId="0" xr:uid="{00000000-0006-0000-0300-00000A000000}">
      <text>
        <r>
          <rPr>
            <b/>
            <sz val="9"/>
            <color indexed="81"/>
            <rFont val="Tahoma"/>
            <family val="2"/>
          </rPr>
          <t>jpapasan:</t>
        </r>
        <r>
          <rPr>
            <sz val="9"/>
            <color indexed="81"/>
            <rFont val="Tahoma"/>
            <family val="2"/>
          </rPr>
          <t xml:space="preserve">
How hard is the money you have in Property working?
Return on Equity
 for Debt Pay Down + Appreciation + Cash Flow</t>
        </r>
      </text>
    </comment>
    <comment ref="AB3" authorId="0" shapeId="0" xr:uid="{00000000-0006-0000-0300-00000B000000}">
      <text>
        <r>
          <rPr>
            <b/>
            <sz val="9"/>
            <color indexed="81"/>
            <rFont val="Tahoma"/>
            <family val="2"/>
          </rPr>
          <t>jpapasan:</t>
        </r>
        <r>
          <rPr>
            <sz val="9"/>
            <color indexed="81"/>
            <rFont val="Tahoma"/>
            <family val="2"/>
          </rPr>
          <t xml:space="preserve">
Equity (after COS) + Acc Cash Flow - Total Cash In</t>
        </r>
      </text>
    </comment>
    <comment ref="AD3" authorId="0" shapeId="0" xr:uid="{00000000-0006-0000-0300-00000C000000}">
      <text>
        <r>
          <rPr>
            <b/>
            <sz val="9"/>
            <color indexed="81"/>
            <rFont val="Tahoma"/>
            <family val="2"/>
          </rPr>
          <t>jpapasan:</t>
        </r>
        <r>
          <rPr>
            <sz val="9"/>
            <color indexed="81"/>
            <rFont val="Tahoma"/>
            <family val="2"/>
          </rPr>
          <t xml:space="preserve">
Equity (after COS) + Acc Cash Flow - Total Cash In</t>
        </r>
      </text>
    </comment>
  </commentList>
</comments>
</file>

<file path=xl/sharedStrings.xml><?xml version="1.0" encoding="utf-8"?>
<sst xmlns="http://schemas.openxmlformats.org/spreadsheetml/2006/main" count="336" uniqueCount="176">
  <si>
    <t>Property Analysis Worksheet</t>
  </si>
  <si>
    <t>Client Name:</t>
  </si>
  <si>
    <t>Prepared By:</t>
  </si>
  <si>
    <t>Steve Chader</t>
  </si>
  <si>
    <t>List Price:</t>
  </si>
  <si>
    <t>Purchase Terms</t>
  </si>
  <si>
    <t>1. Fair Market Value:</t>
  </si>
  <si>
    <t>%</t>
  </si>
  <si>
    <t>Discount %</t>
  </si>
  <si>
    <t>Purchase Price (max offer price)</t>
  </si>
  <si>
    <t>Percent Down</t>
  </si>
  <si>
    <t>Down Payment Amount</t>
  </si>
  <si>
    <t>Amount Financed</t>
  </si>
  <si>
    <t>Interest Rate</t>
  </si>
  <si>
    <t>Closing Costs (2%)</t>
  </si>
  <si>
    <t>Cost of Repairs (make-ready)</t>
  </si>
  <si>
    <t>Total Cash Invested</t>
  </si>
  <si>
    <t>Length of Mortgage (years)</t>
  </si>
  <si>
    <t>Payments Per Year</t>
  </si>
  <si>
    <t>Monthly</t>
  </si>
  <si>
    <t>Annual</t>
  </si>
  <si>
    <t>Mortgage Payment</t>
  </si>
  <si>
    <t>Operating Budget</t>
  </si>
  <si>
    <t>II. Rental Income</t>
  </si>
  <si>
    <t>Unit A</t>
  </si>
  <si>
    <t>+</t>
  </si>
  <si>
    <t>Unit B</t>
  </si>
  <si>
    <t>Unit C</t>
  </si>
  <si>
    <t>Unit D</t>
  </si>
  <si>
    <r>
      <t xml:space="preserve">This spreadsheet is a model for informational purposes only. It is not meant nor designed to represent what will happen with regards to interest rates, appreciation, rents or vacancy. It is not meant to be a substitute for your own judgement. Neither KellerINK nor the </t>
    </r>
    <r>
      <rPr>
        <i/>
        <sz val="10"/>
        <rFont val="Gill Sans MT"/>
        <family val="2"/>
      </rPr>
      <t xml:space="preserve">HOLD </t>
    </r>
    <r>
      <rPr>
        <sz val="10"/>
        <rFont val="Gill Sans MT"/>
        <family val="2"/>
      </rPr>
      <t xml:space="preserve">authors are responsible for errors. </t>
    </r>
  </si>
  <si>
    <t>Gross Rental Income</t>
  </si>
  <si>
    <t>=</t>
  </si>
  <si>
    <t xml:space="preserve">Vacancy Rate </t>
  </si>
  <si>
    <t>-</t>
  </si>
  <si>
    <t>Net Rental Income</t>
  </si>
  <si>
    <t>III. Expenses</t>
  </si>
  <si>
    <t xml:space="preserve">Property Management Fees </t>
  </si>
  <si>
    <t xml:space="preserve">Leasing Fee </t>
  </si>
  <si>
    <t>Maintenance Reserve (5%)</t>
  </si>
  <si>
    <t>Utilities (when vacant)</t>
  </si>
  <si>
    <t>Property Taxes</t>
  </si>
  <si>
    <t>Insurance</t>
  </si>
  <si>
    <t>Other (HOA fees, lawn care, etc.)</t>
  </si>
  <si>
    <t xml:space="preserve">Other </t>
  </si>
  <si>
    <t>Total Expenses</t>
  </si>
  <si>
    <t>IV. Net Operating Income (NOI)</t>
  </si>
  <si>
    <t>NOI</t>
  </si>
  <si>
    <t>V. Net Cash Flow</t>
  </si>
  <si>
    <t>Net Cash Flow</t>
  </si>
  <si>
    <t>Amount of extra principle payment from postive cash flow</t>
  </si>
  <si>
    <t>Analysis</t>
  </si>
  <si>
    <t xml:space="preserve">VI. Investment Analysis*                                    </t>
  </si>
  <si>
    <t>Pro Forma Cap Rate:</t>
  </si>
  <si>
    <t>*Annual Growth Assumptions</t>
  </si>
  <si>
    <t>Expenses</t>
  </si>
  <si>
    <r>
      <t>Income (</t>
    </r>
    <r>
      <rPr>
        <sz val="9"/>
        <rFont val="Gill Sans MT"/>
        <family val="2"/>
      </rPr>
      <t>rents typically rise with inflation)</t>
    </r>
  </si>
  <si>
    <r>
      <t xml:space="preserve">Property Value </t>
    </r>
    <r>
      <rPr>
        <sz val="9"/>
        <rFont val="Gill Sans MT"/>
        <family val="2"/>
      </rPr>
      <t>(historic average 4%)</t>
    </r>
  </si>
  <si>
    <t>Year 1</t>
  </si>
  <si>
    <t>Year 5</t>
  </si>
  <si>
    <t>Year 10</t>
  </si>
  <si>
    <t>Year 15</t>
  </si>
  <si>
    <t>Total Annual Income</t>
  </si>
  <si>
    <t>Total Annual Expenses</t>
  </si>
  <si>
    <t>Total Annual Cash Flow</t>
  </si>
  <si>
    <t>Property Value</t>
  </si>
  <si>
    <t>Equity</t>
  </si>
  <si>
    <t>Loan Balance</t>
  </si>
  <si>
    <t>Total Profit if Sold</t>
  </si>
  <si>
    <t>Cash on Cash ROI</t>
  </si>
  <si>
    <t>Annualized Total Return</t>
  </si>
  <si>
    <t>Loan Data</t>
  </si>
  <si>
    <t>Original Principal</t>
  </si>
  <si>
    <t>Payoff</t>
  </si>
  <si>
    <t>Loan Term (Years)</t>
  </si>
  <si>
    <t>Total Interest</t>
  </si>
  <si>
    <t>Annual Interest Rate</t>
  </si>
  <si>
    <t>Regular Principal</t>
  </si>
  <si>
    <t>Payments per Year</t>
  </si>
  <si>
    <t>Extra Principal</t>
  </si>
  <si>
    <t>Payment</t>
  </si>
  <si>
    <t>Total Principal</t>
  </si>
  <si>
    <t>Additional Principal</t>
  </si>
  <si>
    <t>Total Payments</t>
  </si>
  <si>
    <t>Total Savings</t>
  </si>
  <si>
    <t>Free and Clear year</t>
  </si>
  <si>
    <t>Alt Payoff</t>
  </si>
  <si>
    <t>Month</t>
  </si>
  <si>
    <t>Interest</t>
  </si>
  <si>
    <t>Principal</t>
  </si>
  <si>
    <t>Balance</t>
  </si>
  <si>
    <t>Debt Paydown</t>
  </si>
  <si>
    <t xml:space="preserve"> </t>
  </si>
  <si>
    <t>Investment Return over Time</t>
  </si>
  <si>
    <t>Year</t>
  </si>
  <si>
    <t>Rent Appreciation Rate</t>
  </si>
  <si>
    <t>Gross Rents (Adjusted for Inflation)</t>
  </si>
  <si>
    <t>Vacancy</t>
  </si>
  <si>
    <t>Net Rental Income (Annual)</t>
  </si>
  <si>
    <t>Expenses Appreciation Rate</t>
  </si>
  <si>
    <t>Annual Expenses (Adjusted for Inflation)</t>
  </si>
  <si>
    <t>Net Operating Income (Annual)</t>
  </si>
  <si>
    <t>Annual Debt Pay Down (Principle Paid)</t>
  </si>
  <si>
    <t>Accumulated Debt Pay Down</t>
  </si>
  <si>
    <t>Annual Net Cash Flow (Annual)</t>
  </si>
  <si>
    <t>Property Value (Start of  Year)</t>
  </si>
  <si>
    <t>Property Value Appreciation Rate</t>
  </si>
  <si>
    <t>Annual Appreciation (Value)</t>
  </si>
  <si>
    <t>Accumulated Appreciation</t>
  </si>
  <si>
    <t>Property Value (EOY)</t>
  </si>
  <si>
    <t>Cost of Sale (COS)</t>
  </si>
  <si>
    <t>Total Mortgage Debt</t>
  </si>
  <si>
    <t>Accumulated Cash Flow</t>
  </si>
  <si>
    <t>Total Cash In</t>
  </si>
  <si>
    <t>Annual Total Return (Before COS)</t>
  </si>
  <si>
    <t>CAP Rate</t>
  </si>
  <si>
    <t>Total ROI (Annual)</t>
  </si>
  <si>
    <t>Cash on Cash ROI (Annual)</t>
  </si>
  <si>
    <t>Accumulated  Total Return (Accumlated Debt Pay Down, Cash Flow &amp; Appreciation)</t>
  </si>
  <si>
    <t>Total ROI Based on Acc.Total Return</t>
  </si>
  <si>
    <t>Accumulated  Total Return (after COS)</t>
  </si>
  <si>
    <t>Total ROI on Acc.Total Return (after COS)</t>
  </si>
  <si>
    <t>IRR (assuming sale at end of each period)</t>
  </si>
  <si>
    <t>total cash invested</t>
  </si>
  <si>
    <t>yr1 cash flow + net</t>
  </si>
  <si>
    <t>Sale price</t>
  </si>
  <si>
    <t>yr1 cash flow</t>
  </si>
  <si>
    <t>minus COS</t>
  </si>
  <si>
    <t>yr2</t>
  </si>
  <si>
    <t>Net</t>
  </si>
  <si>
    <t>yr3</t>
  </si>
  <si>
    <t>yr4</t>
  </si>
  <si>
    <t>yr5 plus net</t>
  </si>
  <si>
    <t>yr5</t>
  </si>
  <si>
    <t>yr6</t>
  </si>
  <si>
    <t>yr7</t>
  </si>
  <si>
    <t>yr8</t>
  </si>
  <si>
    <t>yr9</t>
  </si>
  <si>
    <t>yr10 plus net</t>
  </si>
  <si>
    <t>yr10</t>
  </si>
  <si>
    <t>yr11</t>
  </si>
  <si>
    <t>yr12</t>
  </si>
  <si>
    <t>yr13</t>
  </si>
  <si>
    <t>yr14</t>
  </si>
  <si>
    <t>IRR YR 1</t>
  </si>
  <si>
    <t>IRR YR 5</t>
  </si>
  <si>
    <t>IRR YR 10</t>
  </si>
  <si>
    <t>yr15 plus net</t>
  </si>
  <si>
    <t>IRR YR 15</t>
  </si>
  <si>
    <t>MIRR</t>
  </si>
  <si>
    <t xml:space="preserve">This spreadsheet is a model for informational purposes only. It is not meant nor designed to represent what will happen with regards to interest rates, appreciation, rents or vacancy. It is not meant to be a substitute for your own judgement. Neither the broker nor the agent is responsible for errors. </t>
  </si>
  <si>
    <t>Loan Amount</t>
  </si>
  <si>
    <t># of Periods</t>
  </si>
  <si>
    <t>Period #</t>
  </si>
  <si>
    <t>Total Debt Pay Down</t>
  </si>
  <si>
    <t>Annual Debt Pay Down</t>
  </si>
  <si>
    <t>IRR Before tax</t>
  </si>
  <si>
    <t>Monthly Payment on #2 Loan</t>
  </si>
  <si>
    <t>Total Mortgage Debt 1st</t>
  </si>
  <si>
    <t>Total Mortgage Debt 2nd</t>
  </si>
  <si>
    <t>Total Return on Equity (Before COS)</t>
  </si>
  <si>
    <t>monthly cash flow</t>
  </si>
  <si>
    <t>Interest Only Annual Payment</t>
  </si>
  <si>
    <t>Interest Only monthly payment</t>
  </si>
  <si>
    <t>1st</t>
  </si>
  <si>
    <t>2nd</t>
  </si>
  <si>
    <t>Mortgage Payment(s)</t>
  </si>
  <si>
    <t>Policy  Loan or HECL</t>
  </si>
  <si>
    <t>Leasing Fee  (2 year lease)</t>
  </si>
  <si>
    <t>Year One</t>
  </si>
  <si>
    <t>loan Paydown</t>
  </si>
  <si>
    <t>Property Appreciation</t>
  </si>
  <si>
    <t>What if your cash flow is negative</t>
  </si>
  <si>
    <t>Tax savings</t>
  </si>
  <si>
    <t>Cash out of pocket</t>
  </si>
  <si>
    <t>Cost of Ownership</t>
  </si>
  <si>
    <t>Property Address:   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</si>
</sst>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00"/>
    <numFmt numFmtId="165" formatCode="&quot;$&quot;#,##0"/>
    <numFmt numFmtId="166" formatCode="&quot; &quot;* #,##0.00&quot; &quot;;&quot; &quot;* \(#,##0.00\);&quot; &quot;* &quot;-&quot;??&quot; &quot;"/>
    <numFmt numFmtId="167" formatCode="&quot; &quot;* #,##0&quot; &quot;;&quot; &quot;* \(#,##0\);&quot; &quot;* &quot;-&quot;??&quot; &quot;"/>
    <numFmt numFmtId="168" formatCode="\ * #,##0\ ;\ * \(#,##0\);\ * &quot;-&quot;??\ "/>
    <numFmt numFmtId="169" formatCode="_(&quot;$&quot;* #,##0_);_(&quot;$&quot;* \(#,##0\);_(&quot;$&quot;* &quot;-&quot;??_);_(@_)"/>
    <numFmt numFmtId="170" formatCode="0.0%"/>
    <numFmt numFmtId="171" formatCode="&quot;$&quot;#,##0;[Red]&quot;$&quot;#,##0"/>
    <numFmt numFmtId="172" formatCode="0.00_);[Red]\(0.00\)"/>
    <numFmt numFmtId="173" formatCode="&quot;Period &quot;0_)"/>
    <numFmt numFmtId="174" formatCode="0.000000"/>
    <numFmt numFmtId="175" formatCode="_(* #,##0_);_(* \(#,##0\);_(* &quot;-&quot;??_);_(@_)"/>
    <numFmt numFmtId="176" formatCode="#,##0.0_);[Red]\(#,##0.0\)"/>
    <numFmt numFmtId="177" formatCode="0.0"/>
    <numFmt numFmtId="178" formatCode="_-&quot;$&quot;* #,##0_-;_-&quot;$&quot;* \(#,##0\)_-;_-&quot;$&quot;* &quot;-&quot;??;_-@_-"/>
  </numFmts>
  <fonts count="48">
    <font>
      <sz val="10"/>
      <name val="Arial"/>
    </font>
    <font>
      <sz val="10"/>
      <name val="Arial"/>
      <family val="2"/>
    </font>
    <font>
      <sz val="12"/>
      <name val="Gill Sans MT"/>
      <family val="2"/>
    </font>
    <font>
      <sz val="8"/>
      <name val="Arial"/>
      <family val="2"/>
    </font>
    <font>
      <b/>
      <sz val="12"/>
      <name val="Gill Sans MT"/>
      <family val="2"/>
    </font>
    <font>
      <sz val="24"/>
      <color indexed="9"/>
      <name val="Gill Sans MT"/>
      <family val="2"/>
    </font>
    <font>
      <sz val="24"/>
      <color indexed="9"/>
      <name val="Arial"/>
      <family val="2"/>
    </font>
    <font>
      <sz val="22"/>
      <color indexed="9"/>
      <name val="Gill Sans MT"/>
      <family val="2"/>
    </font>
    <font>
      <sz val="22"/>
      <color indexed="9"/>
      <name val="Arial"/>
      <family val="2"/>
    </font>
    <font>
      <b/>
      <sz val="12"/>
      <color indexed="8"/>
      <name val="Gill Sans MT"/>
      <family val="2"/>
    </font>
    <font>
      <b/>
      <sz val="10"/>
      <name val="Arial"/>
      <family val="2"/>
    </font>
    <font>
      <sz val="10"/>
      <color indexed="8"/>
      <name val="Arial"/>
      <family val="2"/>
    </font>
    <font>
      <sz val="11"/>
      <color indexed="8"/>
      <name val="Helvetica Neue"/>
    </font>
    <font>
      <sz val="9"/>
      <color indexed="81"/>
      <name val="Tahoma"/>
      <family val="2"/>
    </font>
    <font>
      <b/>
      <sz val="9"/>
      <color indexed="81"/>
      <name val="Tahoma"/>
      <family val="2"/>
    </font>
    <font>
      <sz val="12"/>
      <name val="Arial"/>
      <family val="2"/>
    </font>
    <font>
      <b/>
      <sz val="12"/>
      <name val="Arial"/>
      <family val="2"/>
    </font>
    <font>
      <sz val="10"/>
      <name val="Arial"/>
      <family val="2"/>
    </font>
    <font>
      <b/>
      <i/>
      <sz val="12"/>
      <name val="Arial"/>
      <family val="2"/>
    </font>
    <font>
      <b/>
      <sz val="11"/>
      <name val="Helvetica Neue"/>
    </font>
    <font>
      <sz val="12"/>
      <color theme="1"/>
      <name val="Gill Sans MT"/>
      <family val="2"/>
    </font>
    <font>
      <b/>
      <sz val="10"/>
      <name val="Arial"/>
      <family val="2"/>
    </font>
    <font>
      <sz val="10"/>
      <name val="Gill Sans MT"/>
      <family val="2"/>
    </font>
    <font>
      <b/>
      <sz val="10"/>
      <name val="Gill Sans MT"/>
      <family val="2"/>
    </font>
    <font>
      <b/>
      <sz val="12"/>
      <color rgb="FFFF0000"/>
      <name val="Arial"/>
      <family val="2"/>
    </font>
    <font>
      <sz val="10"/>
      <name val="Arial"/>
      <family val="2"/>
    </font>
    <font>
      <b/>
      <sz val="11"/>
      <name val="Times New Roman"/>
      <family val="1"/>
    </font>
    <font>
      <sz val="11"/>
      <name val="Times New Roman"/>
      <family val="1"/>
    </font>
    <font>
      <b/>
      <i/>
      <sz val="11"/>
      <name val="Times New Roman"/>
      <family val="1"/>
    </font>
    <font>
      <sz val="11"/>
      <color indexed="10"/>
      <name val="Times New Roman"/>
      <family val="1"/>
    </font>
    <font>
      <i/>
      <sz val="10"/>
      <name val="Gill Sans MT"/>
      <family val="2"/>
    </font>
    <font>
      <sz val="9"/>
      <name val="Gill Sans MT"/>
      <family val="2"/>
    </font>
    <font>
      <sz val="12"/>
      <name val="Times New Roman"/>
      <family val="1"/>
    </font>
    <font>
      <b/>
      <sz val="14"/>
      <name val="Times New Roman"/>
      <family val="1"/>
    </font>
    <font>
      <sz val="14"/>
      <name val="Arial"/>
      <family val="2"/>
    </font>
    <font>
      <sz val="14"/>
      <name val="Times New Roman"/>
      <family val="1"/>
    </font>
    <font>
      <b/>
      <i/>
      <sz val="14"/>
      <name val="Times New Roman"/>
      <family val="1"/>
    </font>
    <font>
      <b/>
      <sz val="14"/>
      <name val="Arial"/>
      <family val="2"/>
    </font>
    <font>
      <sz val="11"/>
      <name val="Arial"/>
      <family val="2"/>
    </font>
    <font>
      <sz val="10"/>
      <color theme="1"/>
      <name val="Arial"/>
      <family val="2"/>
    </font>
    <font>
      <sz val="11"/>
      <name val="Gill Sans MT"/>
      <family val="2"/>
    </font>
    <font>
      <sz val="12"/>
      <color theme="1"/>
      <name val="Arial"/>
      <family val="2"/>
    </font>
    <font>
      <sz val="9"/>
      <color indexed="81"/>
      <name val="Tahoma"/>
      <charset val="1"/>
    </font>
    <font>
      <b/>
      <sz val="9"/>
      <color indexed="81"/>
      <name val="Tahoma"/>
      <charset val="1"/>
    </font>
    <font>
      <sz val="10"/>
      <color theme="0" tint="-0.34998626667073579"/>
      <name val="Arial"/>
      <family val="2"/>
    </font>
    <font>
      <sz val="12"/>
      <color theme="0" tint="-0.34998626667073579"/>
      <name val="Gill Sans MT"/>
      <family val="2"/>
    </font>
    <font>
      <sz val="11"/>
      <color theme="0" tint="-0.34998626667073579"/>
      <name val="Gill Sans MT"/>
      <family val="2"/>
    </font>
    <font>
      <b/>
      <sz val="12"/>
      <color theme="0" tint="-0.34998626667073579"/>
      <name val="Gill Sans MT"/>
      <family val="2"/>
    </font>
  </fonts>
  <fills count="16">
    <fill>
      <patternFill patternType="none"/>
    </fill>
    <fill>
      <patternFill patternType="gray125"/>
    </fill>
    <fill>
      <patternFill patternType="solid">
        <fgColor indexed="9"/>
      </patternFill>
    </fill>
    <fill>
      <patternFill patternType="solid">
        <fgColor indexed="9"/>
        <bgColor indexed="64"/>
      </patternFill>
    </fill>
    <fill>
      <patternFill patternType="solid">
        <fgColor indexed="55"/>
        <bgColor indexed="64"/>
      </patternFill>
    </fill>
    <fill>
      <patternFill patternType="solid">
        <fgColor indexed="63"/>
        <bgColor indexed="64"/>
      </patternFill>
    </fill>
    <fill>
      <patternFill patternType="solid">
        <fgColor theme="0"/>
        <bgColor indexed="64"/>
      </patternFill>
    </fill>
    <fill>
      <patternFill patternType="solid">
        <fgColor rgb="FFFFFF00"/>
        <bgColor indexed="64"/>
      </patternFill>
    </fill>
    <fill>
      <patternFill patternType="solid">
        <fgColor theme="2"/>
        <bgColor indexed="64"/>
      </patternFill>
    </fill>
    <fill>
      <patternFill patternType="solid">
        <fgColor rgb="FF92D050"/>
        <bgColor indexed="64"/>
      </patternFill>
    </fill>
    <fill>
      <patternFill patternType="solid">
        <fgColor theme="0" tint="-4.9989318521683403E-2"/>
        <bgColor indexed="64"/>
      </patternFill>
    </fill>
    <fill>
      <patternFill patternType="solid">
        <fgColor indexed="13"/>
        <bgColor indexed="64"/>
      </patternFill>
    </fill>
    <fill>
      <patternFill patternType="solid">
        <fgColor indexed="22"/>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FFFCC"/>
        <bgColor indexed="64"/>
      </patternFill>
    </fill>
  </fills>
  <borders count="45">
    <border>
      <left/>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double">
        <color indexed="64"/>
      </bottom>
      <diagonal/>
    </border>
    <border>
      <left/>
      <right style="medium">
        <color indexed="64"/>
      </right>
      <top/>
      <bottom style="double">
        <color indexed="64"/>
      </bottom>
      <diagonal/>
    </border>
    <border>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25" fillId="0" borderId="0" applyFont="0" applyFill="0" applyBorder="0" applyAlignment="0" applyProtection="0"/>
  </cellStyleXfs>
  <cellXfs count="394">
    <xf numFmtId="0" fontId="0" fillId="0" borderId="0" xfId="0"/>
    <xf numFmtId="0" fontId="2" fillId="0" borderId="0" xfId="0" applyFont="1"/>
    <xf numFmtId="0" fontId="2" fillId="0" borderId="1" xfId="0" applyFont="1" applyBorder="1"/>
    <xf numFmtId="0" fontId="2" fillId="0" borderId="0" xfId="0" applyFont="1" applyAlignment="1">
      <alignment horizontal="right"/>
    </xf>
    <xf numFmtId="0" fontId="2" fillId="0" borderId="2" xfId="0" applyFont="1" applyBorder="1"/>
    <xf numFmtId="0" fontId="2" fillId="0" borderId="3" xfId="0" applyFont="1" applyBorder="1"/>
    <xf numFmtId="0" fontId="2" fillId="0" borderId="4" xfId="0" applyFont="1" applyBorder="1"/>
    <xf numFmtId="43" fontId="2" fillId="0" borderId="0" xfId="0" applyNumberFormat="1" applyFont="1"/>
    <xf numFmtId="0" fontId="9" fillId="3" borderId="5" xfId="0" applyFont="1" applyFill="1" applyBorder="1" applyAlignment="1">
      <alignment vertical="center"/>
    </xf>
    <xf numFmtId="0" fontId="9" fillId="3" borderId="6" xfId="0" applyFont="1" applyFill="1" applyBorder="1"/>
    <xf numFmtId="0" fontId="4" fillId="0" borderId="5" xfId="0" applyFont="1" applyBorder="1" applyAlignment="1">
      <alignment vertical="center"/>
    </xf>
    <xf numFmtId="0" fontId="9" fillId="3" borderId="5" xfId="0" applyFont="1" applyFill="1" applyBorder="1"/>
    <xf numFmtId="0" fontId="2" fillId="0" borderId="0" xfId="0" applyFont="1" applyAlignment="1">
      <alignment horizontal="left" vertical="center"/>
    </xf>
    <xf numFmtId="0" fontId="4" fillId="0" borderId="6" xfId="0" applyFont="1" applyBorder="1" applyAlignment="1">
      <alignment horizontal="left"/>
    </xf>
    <xf numFmtId="0" fontId="2" fillId="0" borderId="9" xfId="0" applyFont="1" applyBorder="1" applyAlignment="1">
      <alignment horizontal="left"/>
    </xf>
    <xf numFmtId="0" fontId="2" fillId="0" borderId="1" xfId="0" applyFont="1" applyBorder="1" applyAlignment="1">
      <alignment horizontal="left"/>
    </xf>
    <xf numFmtId="43" fontId="2" fillId="0" borderId="10" xfId="0" applyNumberFormat="1" applyFont="1" applyBorder="1"/>
    <xf numFmtId="43" fontId="2" fillId="0" borderId="11" xfId="0" applyNumberFormat="1" applyFont="1" applyBorder="1"/>
    <xf numFmtId="43" fontId="2" fillId="0" borderId="12" xfId="0" applyNumberFormat="1" applyFont="1" applyBorder="1"/>
    <xf numFmtId="0" fontId="9" fillId="3" borderId="6" xfId="0" applyFont="1" applyFill="1" applyBorder="1" applyAlignment="1">
      <alignment vertical="center"/>
    </xf>
    <xf numFmtId="0" fontId="9" fillId="3" borderId="7" xfId="0" applyFont="1" applyFill="1" applyBorder="1" applyAlignment="1">
      <alignment vertical="center"/>
    </xf>
    <xf numFmtId="0" fontId="2" fillId="0" borderId="13" xfId="0" applyFont="1" applyBorder="1"/>
    <xf numFmtId="164" fontId="2" fillId="0" borderId="0" xfId="0" applyNumberFormat="1" applyFont="1"/>
    <xf numFmtId="164" fontId="2" fillId="0" borderId="11" xfId="0" applyNumberFormat="1" applyFont="1" applyBorder="1"/>
    <xf numFmtId="10" fontId="2" fillId="0" borderId="0" xfId="0" applyNumberFormat="1" applyFont="1" applyAlignment="1">
      <alignment horizontal="center" vertical="center"/>
    </xf>
    <xf numFmtId="0" fontId="4" fillId="0" borderId="1" xfId="0" applyFont="1" applyBorder="1" applyAlignment="1">
      <alignment horizontal="left"/>
    </xf>
    <xf numFmtId="0" fontId="4" fillId="0" borderId="0" xfId="0" applyFont="1"/>
    <xf numFmtId="0" fontId="4" fillId="0" borderId="1" xfId="0" applyFont="1" applyBorder="1"/>
    <xf numFmtId="0" fontId="2" fillId="0" borderId="0" xfId="0" applyFont="1" applyAlignment="1">
      <alignment horizontal="center" vertical="center"/>
    </xf>
    <xf numFmtId="0" fontId="4" fillId="0" borderId="0" xfId="0" applyFont="1" applyAlignment="1">
      <alignment horizontal="center" vertical="center"/>
    </xf>
    <xf numFmtId="0" fontId="2" fillId="0" borderId="13" xfId="0" applyFont="1" applyBorder="1" applyAlignment="1">
      <alignment horizontal="center" vertical="center"/>
    </xf>
    <xf numFmtId="164" fontId="2" fillId="0" borderId="0" xfId="0" applyNumberFormat="1" applyFont="1" applyAlignment="1">
      <alignment horizontal="center" vertical="center"/>
    </xf>
    <xf numFmtId="0" fontId="9" fillId="0" borderId="0" xfId="0" applyFont="1" applyAlignment="1">
      <alignment vertical="center"/>
    </xf>
    <xf numFmtId="164" fontId="4" fillId="0" borderId="0" xfId="0" applyNumberFormat="1" applyFont="1"/>
    <xf numFmtId="43" fontId="2" fillId="0" borderId="0" xfId="0" applyNumberFormat="1" applyFont="1" applyAlignment="1">
      <alignment horizontal="center" vertical="center"/>
    </xf>
    <xf numFmtId="0" fontId="20" fillId="0" borderId="3" xfId="0" applyFont="1" applyBorder="1" applyAlignment="1">
      <alignment horizontal="left" vertical="center"/>
    </xf>
    <xf numFmtId="7" fontId="2" fillId="0" borderId="0" xfId="0" applyNumberFormat="1" applyFont="1"/>
    <xf numFmtId="8" fontId="2" fillId="0" borderId="0" xfId="0" applyNumberFormat="1" applyFont="1"/>
    <xf numFmtId="49" fontId="11" fillId="2" borderId="25" xfId="0" applyNumberFormat="1" applyFont="1" applyFill="1" applyBorder="1"/>
    <xf numFmtId="166" fontId="11" fillId="2" borderId="25" xfId="0" applyNumberFormat="1" applyFont="1" applyFill="1" applyBorder="1"/>
    <xf numFmtId="1" fontId="11" fillId="2" borderId="25" xfId="0" applyNumberFormat="1" applyFont="1" applyFill="1" applyBorder="1"/>
    <xf numFmtId="0" fontId="12" fillId="0" borderId="25" xfId="0" applyFont="1" applyBorder="1" applyAlignment="1">
      <alignment vertical="top"/>
    </xf>
    <xf numFmtId="10" fontId="11" fillId="2" borderId="25" xfId="0" applyNumberFormat="1" applyFont="1" applyFill="1" applyBorder="1"/>
    <xf numFmtId="0" fontId="11" fillId="2" borderId="25" xfId="0" applyFont="1" applyFill="1" applyBorder="1"/>
    <xf numFmtId="8" fontId="11" fillId="2" borderId="25" xfId="0" applyNumberFormat="1" applyFont="1" applyFill="1" applyBorder="1"/>
    <xf numFmtId="167" fontId="11" fillId="2" borderId="25" xfId="0" applyNumberFormat="1" applyFont="1" applyFill="1" applyBorder="1"/>
    <xf numFmtId="0" fontId="11" fillId="7" borderId="25" xfId="0" applyFont="1" applyFill="1" applyBorder="1"/>
    <xf numFmtId="8" fontId="11" fillId="7" borderId="25" xfId="0" applyNumberFormat="1" applyFont="1" applyFill="1" applyBorder="1"/>
    <xf numFmtId="167" fontId="11" fillId="7" borderId="25" xfId="0" applyNumberFormat="1" applyFont="1" applyFill="1" applyBorder="1"/>
    <xf numFmtId="0" fontId="11" fillId="8" borderId="25" xfId="0" applyFont="1" applyFill="1" applyBorder="1"/>
    <xf numFmtId="8" fontId="11" fillId="8" borderId="25" xfId="0" applyNumberFormat="1" applyFont="1" applyFill="1" applyBorder="1"/>
    <xf numFmtId="167" fontId="11" fillId="8" borderId="25" xfId="0" applyNumberFormat="1" applyFont="1" applyFill="1" applyBorder="1"/>
    <xf numFmtId="8" fontId="12" fillId="0" borderId="25" xfId="0" applyNumberFormat="1" applyFont="1" applyBorder="1" applyAlignment="1">
      <alignment vertical="top"/>
    </xf>
    <xf numFmtId="0" fontId="2" fillId="0" borderId="0" xfId="0" applyFont="1" applyAlignment="1">
      <alignment vertical="top" wrapText="1"/>
    </xf>
    <xf numFmtId="0" fontId="2" fillId="0" borderId="1" xfId="0" applyFont="1" applyBorder="1" applyAlignment="1">
      <alignment vertical="center" wrapText="1"/>
    </xf>
    <xf numFmtId="1" fontId="11" fillId="7" borderId="25" xfId="0" applyNumberFormat="1" applyFont="1" applyFill="1" applyBorder="1"/>
    <xf numFmtId="0" fontId="12" fillId="7" borderId="25" xfId="0" applyFont="1" applyFill="1" applyBorder="1" applyAlignment="1">
      <alignment vertical="top"/>
    </xf>
    <xf numFmtId="0" fontId="2" fillId="0" borderId="2" xfId="0" applyFont="1" applyBorder="1" applyAlignment="1">
      <alignment horizontal="left"/>
    </xf>
    <xf numFmtId="0" fontId="2" fillId="0" borderId="0" xfId="0" applyFont="1" applyAlignment="1">
      <alignment horizontal="left"/>
    </xf>
    <xf numFmtId="0" fontId="4" fillId="0" borderId="0" xfId="0" applyFont="1" applyAlignment="1">
      <alignment horizontal="left"/>
    </xf>
    <xf numFmtId="0" fontId="9" fillId="3" borderId="5" xfId="0" applyFont="1" applyFill="1" applyBorder="1" applyAlignment="1">
      <alignment horizontal="center" vertical="center"/>
    </xf>
    <xf numFmtId="0" fontId="2" fillId="0" borderId="0" xfId="0" applyFont="1" applyAlignment="1">
      <alignment horizontal="center"/>
    </xf>
    <xf numFmtId="0" fontId="4" fillId="0" borderId="5" xfId="0" applyFont="1" applyBorder="1" applyAlignment="1">
      <alignment horizontal="center" vertical="center"/>
    </xf>
    <xf numFmtId="0" fontId="2" fillId="0" borderId="4" xfId="0" applyFont="1" applyBorder="1" applyAlignment="1">
      <alignment horizontal="center" vertical="center"/>
    </xf>
    <xf numFmtId="3" fontId="2" fillId="0" borderId="0" xfId="0" applyNumberFormat="1" applyFont="1"/>
    <xf numFmtId="0" fontId="2" fillId="0" borderId="5" xfId="0" applyFont="1" applyBorder="1"/>
    <xf numFmtId="0" fontId="9" fillId="3" borderId="0" xfId="0" applyFont="1" applyFill="1"/>
    <xf numFmtId="0" fontId="9" fillId="3" borderId="11" xfId="0" applyFont="1" applyFill="1" applyBorder="1"/>
    <xf numFmtId="0" fontId="22" fillId="0" borderId="1" xfId="0" applyFont="1" applyBorder="1" applyAlignment="1">
      <alignment horizontal="left" vertical="center"/>
    </xf>
    <xf numFmtId="0" fontId="23" fillId="8" borderId="1" xfId="0" applyFont="1" applyFill="1" applyBorder="1" applyAlignment="1">
      <alignment horizontal="left" vertical="center"/>
    </xf>
    <xf numFmtId="0" fontId="18" fillId="6" borderId="20" xfId="0" applyFont="1" applyFill="1" applyBorder="1" applyAlignment="1">
      <alignment horizontal="center" vertical="center" wrapText="1"/>
    </xf>
    <xf numFmtId="0" fontId="18" fillId="7" borderId="20" xfId="0" applyFont="1" applyFill="1" applyBorder="1" applyAlignment="1">
      <alignment horizontal="center" vertical="center" wrapText="1"/>
    </xf>
    <xf numFmtId="0" fontId="21" fillId="6" borderId="20" xfId="0" applyFont="1" applyFill="1" applyBorder="1" applyAlignment="1">
      <alignment horizontal="center" vertical="center"/>
    </xf>
    <xf numFmtId="0" fontId="17" fillId="6" borderId="20" xfId="0" applyFont="1" applyFill="1" applyBorder="1" applyAlignment="1">
      <alignment horizontal="center" vertical="center"/>
    </xf>
    <xf numFmtId="168" fontId="15" fillId="6" borderId="20" xfId="0" applyNumberFormat="1" applyFont="1" applyFill="1" applyBorder="1" applyAlignment="1">
      <alignment horizontal="center" vertical="center"/>
    </xf>
    <xf numFmtId="169" fontId="15" fillId="6" borderId="20" xfId="1" applyNumberFormat="1" applyFont="1" applyFill="1" applyBorder="1" applyAlignment="1">
      <alignment horizontal="center" vertical="center"/>
    </xf>
    <xf numFmtId="170" fontId="15" fillId="6" borderId="20" xfId="2" applyNumberFormat="1" applyFont="1" applyFill="1" applyBorder="1" applyAlignment="1">
      <alignment horizontal="center" vertical="center"/>
    </xf>
    <xf numFmtId="9" fontId="15" fillId="6" borderId="20" xfId="2" applyFont="1" applyFill="1" applyBorder="1" applyAlignment="1">
      <alignment horizontal="center" vertical="center"/>
    </xf>
    <xf numFmtId="169" fontId="15" fillId="7" borderId="20" xfId="1" applyNumberFormat="1" applyFont="1" applyFill="1" applyBorder="1" applyAlignment="1">
      <alignment horizontal="center" vertical="center"/>
    </xf>
    <xf numFmtId="169" fontId="15" fillId="0" borderId="20" xfId="1" applyNumberFormat="1" applyFont="1" applyFill="1" applyBorder="1" applyAlignment="1">
      <alignment horizontal="center" vertical="center"/>
    </xf>
    <xf numFmtId="10" fontId="15" fillId="6" borderId="20" xfId="2" applyNumberFormat="1" applyFont="1" applyFill="1" applyBorder="1" applyAlignment="1">
      <alignment horizontal="center" vertical="center"/>
    </xf>
    <xf numFmtId="9" fontId="16" fillId="6" borderId="20" xfId="2" applyFont="1" applyFill="1" applyBorder="1" applyAlignment="1">
      <alignment horizontal="center" vertical="center"/>
    </xf>
    <xf numFmtId="169" fontId="15" fillId="6" borderId="20" xfId="2" applyNumberFormat="1" applyFont="1" applyFill="1" applyBorder="1" applyAlignment="1">
      <alignment horizontal="center" vertical="center"/>
    </xf>
    <xf numFmtId="170" fontId="15" fillId="6" borderId="20" xfId="0" applyNumberFormat="1" applyFont="1" applyFill="1" applyBorder="1" applyAlignment="1">
      <alignment horizontal="center" vertical="center"/>
    </xf>
    <xf numFmtId="0" fontId="15" fillId="6" borderId="20" xfId="0" applyFont="1" applyFill="1" applyBorder="1" applyAlignment="1">
      <alignment horizontal="center" vertical="center"/>
    </xf>
    <xf numFmtId="168" fontId="15" fillId="7" borderId="20" xfId="0" applyNumberFormat="1" applyFont="1" applyFill="1" applyBorder="1" applyAlignment="1">
      <alignment horizontal="center" vertical="center"/>
    </xf>
    <xf numFmtId="9" fontId="15" fillId="7" borderId="20" xfId="2" applyFont="1" applyFill="1" applyBorder="1" applyAlignment="1">
      <alignment horizontal="center" vertical="center"/>
    </xf>
    <xf numFmtId="44" fontId="15" fillId="7" borderId="20" xfId="1" applyFont="1" applyFill="1" applyBorder="1" applyAlignment="1">
      <alignment horizontal="center" vertical="center"/>
    </xf>
    <xf numFmtId="10" fontId="15" fillId="7" borderId="20" xfId="2" applyNumberFormat="1" applyFont="1" applyFill="1" applyBorder="1" applyAlignment="1">
      <alignment horizontal="center" vertical="center"/>
    </xf>
    <xf numFmtId="9" fontId="16" fillId="7" borderId="20" xfId="2" applyFont="1" applyFill="1" applyBorder="1" applyAlignment="1">
      <alignment horizontal="center" vertical="center"/>
    </xf>
    <xf numFmtId="169" fontId="15" fillId="7" borderId="20" xfId="2" applyNumberFormat="1" applyFont="1" applyFill="1" applyBorder="1" applyAlignment="1">
      <alignment horizontal="center" vertical="center"/>
    </xf>
    <xf numFmtId="0" fontId="17" fillId="7" borderId="20" xfId="0" applyFont="1" applyFill="1" applyBorder="1" applyAlignment="1">
      <alignment horizontal="center" vertical="center"/>
    </xf>
    <xf numFmtId="0" fontId="19" fillId="6" borderId="20" xfId="0" applyFont="1" applyFill="1" applyBorder="1" applyAlignment="1">
      <alignment horizontal="center" vertical="center"/>
    </xf>
    <xf numFmtId="0" fontId="16" fillId="6" borderId="26" xfId="0" applyFont="1" applyFill="1" applyBorder="1" applyAlignment="1">
      <alignment vertical="center"/>
    </xf>
    <xf numFmtId="0" fontId="16" fillId="6" borderId="8" xfId="0" applyFont="1" applyFill="1" applyBorder="1" applyAlignment="1">
      <alignment vertical="center"/>
    </xf>
    <xf numFmtId="0" fontId="16" fillId="6" borderId="27" xfId="0" applyFont="1" applyFill="1" applyBorder="1" applyAlignment="1">
      <alignment vertical="center"/>
    </xf>
    <xf numFmtId="10" fontId="15" fillId="6" borderId="20" xfId="1" applyNumberFormat="1" applyFont="1" applyFill="1" applyBorder="1" applyAlignment="1">
      <alignment horizontal="center" vertical="center"/>
    </xf>
    <xf numFmtId="42" fontId="15" fillId="6" borderId="20" xfId="1" applyNumberFormat="1" applyFont="1" applyFill="1" applyBorder="1" applyAlignment="1">
      <alignment horizontal="center" vertical="center"/>
    </xf>
    <xf numFmtId="0" fontId="16" fillId="7" borderId="8" xfId="0" applyFont="1" applyFill="1" applyBorder="1" applyAlignment="1">
      <alignment vertical="center"/>
    </xf>
    <xf numFmtId="10" fontId="16" fillId="7" borderId="20" xfId="2" applyNumberFormat="1" applyFont="1" applyFill="1" applyBorder="1" applyAlignment="1">
      <alignment horizontal="center" vertical="center"/>
    </xf>
    <xf numFmtId="0" fontId="19" fillId="7" borderId="20" xfId="0" applyFont="1" applyFill="1" applyBorder="1" applyAlignment="1">
      <alignment horizontal="center" vertical="center"/>
    </xf>
    <xf numFmtId="169" fontId="16" fillId="6" borderId="32" xfId="0" applyNumberFormat="1" applyFont="1" applyFill="1" applyBorder="1" applyAlignment="1">
      <alignment horizontal="center" vertical="center"/>
    </xf>
    <xf numFmtId="0" fontId="15" fillId="8" borderId="20" xfId="0" applyFont="1" applyFill="1" applyBorder="1" applyAlignment="1">
      <alignment horizontal="center" vertical="center"/>
    </xf>
    <xf numFmtId="169" fontId="15" fillId="8" borderId="33" xfId="0" applyNumberFormat="1" applyFont="1" applyFill="1" applyBorder="1" applyAlignment="1">
      <alignment horizontal="center" vertical="center"/>
    </xf>
    <xf numFmtId="0" fontId="15" fillId="8" borderId="33" xfId="0" applyFont="1" applyFill="1" applyBorder="1" applyAlignment="1">
      <alignment horizontal="center" vertical="center"/>
    </xf>
    <xf numFmtId="169" fontId="16" fillId="6" borderId="20" xfId="0" applyNumberFormat="1" applyFont="1" applyFill="1" applyBorder="1" applyAlignment="1">
      <alignment horizontal="center" vertical="center"/>
    </xf>
    <xf numFmtId="0" fontId="15" fillId="8" borderId="28" xfId="0" applyFont="1" applyFill="1" applyBorder="1" applyAlignment="1">
      <alignment horizontal="center" vertical="center"/>
    </xf>
    <xf numFmtId="170" fontId="15" fillId="6" borderId="26" xfId="0" applyNumberFormat="1" applyFont="1" applyFill="1" applyBorder="1" applyAlignment="1">
      <alignment horizontal="center" vertical="center"/>
    </xf>
    <xf numFmtId="170" fontId="15" fillId="7" borderId="26" xfId="0" applyNumberFormat="1" applyFont="1" applyFill="1" applyBorder="1" applyAlignment="1">
      <alignment horizontal="center" vertical="center"/>
    </xf>
    <xf numFmtId="0" fontId="15" fillId="8" borderId="30" xfId="0" applyFont="1" applyFill="1" applyBorder="1" applyAlignment="1">
      <alignment horizontal="center" vertical="center"/>
    </xf>
    <xf numFmtId="172" fontId="16" fillId="6" borderId="30" xfId="0" applyNumberFormat="1" applyFont="1" applyFill="1" applyBorder="1" applyAlignment="1">
      <alignment horizontal="center" vertical="center"/>
    </xf>
    <xf numFmtId="0" fontId="15" fillId="8" borderId="31" xfId="0" applyFont="1" applyFill="1" applyBorder="1" applyAlignment="1">
      <alignment horizontal="center" vertical="center"/>
    </xf>
    <xf numFmtId="0" fontId="15" fillId="6" borderId="32" xfId="0" applyFont="1" applyFill="1" applyBorder="1" applyAlignment="1">
      <alignment horizontal="center" vertical="center"/>
    </xf>
    <xf numFmtId="0" fontId="15" fillId="7" borderId="35" xfId="0" applyFont="1" applyFill="1" applyBorder="1" applyAlignment="1">
      <alignment horizontal="center" vertical="center"/>
    </xf>
    <xf numFmtId="0" fontId="16" fillId="7" borderId="35" xfId="0" applyFont="1" applyFill="1" applyBorder="1" applyAlignment="1">
      <alignment horizontal="center" vertical="center"/>
    </xf>
    <xf numFmtId="9" fontId="16" fillId="7" borderId="36" xfId="0" applyNumberFormat="1" applyFont="1" applyFill="1" applyBorder="1" applyAlignment="1">
      <alignment horizontal="center" vertical="center"/>
    </xf>
    <xf numFmtId="169" fontId="16" fillId="7" borderId="35" xfId="0" applyNumberFormat="1" applyFont="1" applyFill="1" applyBorder="1" applyAlignment="1">
      <alignment horizontal="center" vertical="center"/>
    </xf>
    <xf numFmtId="172" fontId="16" fillId="6" borderId="29" xfId="0" applyNumberFormat="1" applyFont="1" applyFill="1" applyBorder="1" applyAlignment="1">
      <alignment horizontal="center" vertical="center"/>
    </xf>
    <xf numFmtId="0" fontId="2" fillId="0" borderId="11" xfId="0" applyFont="1" applyBorder="1"/>
    <xf numFmtId="43" fontId="4" fillId="0" borderId="0" xfId="0" applyNumberFormat="1" applyFont="1" applyAlignment="1">
      <alignment horizontal="center" vertical="center"/>
    </xf>
    <xf numFmtId="43" fontId="4" fillId="0" borderId="11" xfId="0" applyNumberFormat="1" applyFont="1" applyBorder="1" applyAlignment="1">
      <alignment horizontal="center" vertical="center"/>
    </xf>
    <xf numFmtId="0" fontId="18" fillId="6" borderId="38" xfId="0" applyFont="1" applyFill="1" applyBorder="1" applyAlignment="1">
      <alignment horizontal="center" vertical="center" wrapText="1"/>
    </xf>
    <xf numFmtId="170" fontId="15" fillId="6" borderId="28" xfId="0" applyNumberFormat="1" applyFont="1" applyFill="1" applyBorder="1" applyAlignment="1">
      <alignment horizontal="center" vertical="center"/>
    </xf>
    <xf numFmtId="169" fontId="15" fillId="8" borderId="20" xfId="0" applyNumberFormat="1" applyFont="1" applyFill="1" applyBorder="1" applyAlignment="1">
      <alignment horizontal="center" vertical="center"/>
    </xf>
    <xf numFmtId="170" fontId="15" fillId="6" borderId="32" xfId="0" applyNumberFormat="1" applyFont="1" applyFill="1" applyBorder="1" applyAlignment="1">
      <alignment horizontal="center" vertical="center"/>
    </xf>
    <xf numFmtId="9" fontId="16" fillId="7" borderId="35" xfId="0" applyNumberFormat="1" applyFont="1" applyFill="1" applyBorder="1" applyAlignment="1">
      <alignment horizontal="center" vertical="center"/>
    </xf>
    <xf numFmtId="170" fontId="15" fillId="8" borderId="20" xfId="0" applyNumberFormat="1" applyFont="1" applyFill="1" applyBorder="1" applyAlignment="1">
      <alignment horizontal="center" vertical="center"/>
    </xf>
    <xf numFmtId="170" fontId="15" fillId="7" borderId="34" xfId="0" applyNumberFormat="1" applyFont="1" applyFill="1" applyBorder="1" applyAlignment="1">
      <alignment horizontal="center" vertical="center"/>
    </xf>
    <xf numFmtId="170" fontId="15" fillId="7" borderId="35" xfId="0" applyNumberFormat="1" applyFont="1" applyFill="1" applyBorder="1" applyAlignment="1">
      <alignment horizontal="center" vertical="center"/>
    </xf>
    <xf numFmtId="170" fontId="16" fillId="7" borderId="35" xfId="0" applyNumberFormat="1" applyFont="1" applyFill="1" applyBorder="1" applyAlignment="1">
      <alignment horizontal="center" vertical="center"/>
    </xf>
    <xf numFmtId="0" fontId="20" fillId="0" borderId="8" xfId="0" applyFont="1" applyBorder="1" applyAlignment="1">
      <alignment horizontal="left" vertical="center"/>
    </xf>
    <xf numFmtId="43" fontId="20" fillId="0" borderId="12" xfId="0" applyNumberFormat="1" applyFont="1" applyBorder="1" applyAlignment="1">
      <alignment horizontal="left" vertical="center"/>
    </xf>
    <xf numFmtId="0" fontId="10" fillId="0" borderId="7" xfId="0" applyFont="1" applyBorder="1" applyAlignment="1">
      <alignment vertical="center"/>
    </xf>
    <xf numFmtId="2" fontId="16" fillId="6" borderId="20" xfId="0" applyNumberFormat="1" applyFont="1" applyFill="1" applyBorder="1" applyAlignment="1">
      <alignment horizontal="center" vertical="center"/>
    </xf>
    <xf numFmtId="2" fontId="24" fillId="6" borderId="30" xfId="0" applyNumberFormat="1" applyFont="1" applyFill="1" applyBorder="1" applyAlignment="1">
      <alignment horizontal="center" vertical="center"/>
    </xf>
    <xf numFmtId="0" fontId="16" fillId="9" borderId="8" xfId="0" applyFont="1" applyFill="1" applyBorder="1" applyAlignment="1">
      <alignment vertical="center"/>
    </xf>
    <xf numFmtId="0" fontId="18" fillId="9" borderId="20" xfId="0" applyFont="1" applyFill="1" applyBorder="1" applyAlignment="1">
      <alignment horizontal="center" vertical="center" wrapText="1"/>
    </xf>
    <xf numFmtId="169" fontId="15" fillId="9" borderId="20" xfId="1" applyNumberFormat="1" applyFont="1" applyFill="1" applyBorder="1" applyAlignment="1">
      <alignment horizontal="center" vertical="center"/>
    </xf>
    <xf numFmtId="0" fontId="17" fillId="9" borderId="20" xfId="0" applyFont="1" applyFill="1" applyBorder="1" applyAlignment="1">
      <alignment horizontal="center" vertical="center"/>
    </xf>
    <xf numFmtId="0" fontId="20" fillId="6" borderId="17" xfId="0" applyFont="1" applyFill="1" applyBorder="1" applyAlignment="1">
      <alignment horizontal="left" vertical="center"/>
    </xf>
    <xf numFmtId="0" fontId="20" fillId="6" borderId="8" xfId="0" applyFont="1" applyFill="1" applyBorder="1" applyAlignment="1">
      <alignment horizontal="left" vertical="center"/>
    </xf>
    <xf numFmtId="0" fontId="4" fillId="0" borderId="0" xfId="0" applyFont="1" applyAlignment="1">
      <alignment horizontal="center"/>
    </xf>
    <xf numFmtId="0" fontId="1" fillId="6" borderId="20" xfId="0" applyFont="1" applyFill="1" applyBorder="1" applyAlignment="1">
      <alignment horizontal="center" vertical="center"/>
    </xf>
    <xf numFmtId="0" fontId="10" fillId="6" borderId="20" xfId="0" applyFont="1" applyFill="1" applyBorder="1" applyAlignment="1">
      <alignment horizontal="center" vertical="center"/>
    </xf>
    <xf numFmtId="0" fontId="1" fillId="6" borderId="27" xfId="0" applyFont="1" applyFill="1" applyBorder="1" applyAlignment="1">
      <alignment horizontal="center" vertical="center"/>
    </xf>
    <xf numFmtId="0" fontId="1" fillId="7" borderId="27" xfId="0" applyFont="1" applyFill="1" applyBorder="1" applyAlignment="1">
      <alignment horizontal="center" vertical="center"/>
    </xf>
    <xf numFmtId="0" fontId="1" fillId="8" borderId="20" xfId="0" applyFont="1" applyFill="1" applyBorder="1" applyAlignment="1">
      <alignment horizontal="center" vertical="center"/>
    </xf>
    <xf numFmtId="0" fontId="1" fillId="8" borderId="33" xfId="0" applyFont="1" applyFill="1" applyBorder="1" applyAlignment="1">
      <alignment horizontal="center" vertical="center"/>
    </xf>
    <xf numFmtId="0" fontId="1" fillId="6" borderId="28" xfId="0" applyFont="1" applyFill="1" applyBorder="1" applyAlignment="1">
      <alignment horizontal="center" vertical="center"/>
    </xf>
    <xf numFmtId="0" fontId="1" fillId="7" borderId="20" xfId="0" applyFont="1" applyFill="1" applyBorder="1" applyAlignment="1">
      <alignment horizontal="center" vertical="center"/>
    </xf>
    <xf numFmtId="44" fontId="1" fillId="7" borderId="20" xfId="0" applyNumberFormat="1" applyFont="1" applyFill="1" applyBorder="1" applyAlignment="1">
      <alignment horizontal="center" vertical="center"/>
    </xf>
    <xf numFmtId="44" fontId="1" fillId="6" borderId="20" xfId="0" applyNumberFormat="1" applyFont="1" applyFill="1" applyBorder="1" applyAlignment="1">
      <alignment horizontal="center" vertical="center"/>
    </xf>
    <xf numFmtId="0" fontId="1" fillId="9" borderId="20" xfId="0" applyFont="1" applyFill="1" applyBorder="1" applyAlignment="1">
      <alignment horizontal="center" vertical="center"/>
    </xf>
    <xf numFmtId="0" fontId="22" fillId="6" borderId="0" xfId="0" applyFont="1" applyFill="1" applyAlignment="1">
      <alignment horizontal="center" vertical="center"/>
    </xf>
    <xf numFmtId="0" fontId="22" fillId="10" borderId="41" xfId="0" applyFont="1" applyFill="1" applyBorder="1" applyAlignment="1">
      <alignment horizontal="left" vertical="center"/>
    </xf>
    <xf numFmtId="0" fontId="22" fillId="10" borderId="40" xfId="0" applyFont="1" applyFill="1" applyBorder="1" applyAlignment="1">
      <alignment horizontal="left" vertical="center"/>
    </xf>
    <xf numFmtId="0" fontId="22" fillId="10" borderId="43" xfId="0" applyFont="1" applyFill="1" applyBorder="1" applyAlignment="1">
      <alignment horizontal="left" vertical="center"/>
    </xf>
    <xf numFmtId="8" fontId="0" fillId="0" borderId="0" xfId="0" applyNumberFormat="1"/>
    <xf numFmtId="0" fontId="27" fillId="0" borderId="0" xfId="0" applyFont="1"/>
    <xf numFmtId="173" fontId="27" fillId="0" borderId="0" xfId="0" applyNumberFormat="1" applyFont="1"/>
    <xf numFmtId="0" fontId="26" fillId="0" borderId="0" xfId="0" applyFont="1"/>
    <xf numFmtId="174" fontId="0" fillId="0" borderId="0" xfId="0" applyNumberFormat="1"/>
    <xf numFmtId="8" fontId="27" fillId="0" borderId="0" xfId="0" applyNumberFormat="1" applyFont="1"/>
    <xf numFmtId="49" fontId="0" fillId="0" borderId="0" xfId="0" applyNumberFormat="1"/>
    <xf numFmtId="43" fontId="0" fillId="0" borderId="0" xfId="0" applyNumberFormat="1"/>
    <xf numFmtId="8" fontId="0" fillId="0" borderId="0" xfId="1" applyNumberFormat="1" applyFont="1" applyProtection="1"/>
    <xf numFmtId="0" fontId="28" fillId="11" borderId="0" xfId="0" applyFont="1" applyFill="1"/>
    <xf numFmtId="0" fontId="26" fillId="12" borderId="5" xfId="0" applyFont="1" applyFill="1" applyBorder="1" applyAlignment="1">
      <alignment horizontal="center"/>
    </xf>
    <xf numFmtId="0" fontId="0" fillId="0" borderId="0" xfId="0" applyAlignment="1">
      <alignment horizontal="center"/>
    </xf>
    <xf numFmtId="43" fontId="0" fillId="0" borderId="0" xfId="3" applyFont="1"/>
    <xf numFmtId="44" fontId="0" fillId="0" borderId="0" xfId="1" applyFont="1"/>
    <xf numFmtId="8" fontId="0" fillId="0" borderId="0" xfId="3" applyNumberFormat="1" applyFont="1"/>
    <xf numFmtId="0" fontId="0" fillId="0" borderId="0" xfId="0" applyProtection="1">
      <protection locked="0"/>
    </xf>
    <xf numFmtId="0" fontId="0" fillId="0" borderId="0" xfId="0" quotePrefix="1"/>
    <xf numFmtId="0" fontId="29" fillId="0" borderId="0" xfId="0" applyFont="1"/>
    <xf numFmtId="9" fontId="1" fillId="6" borderId="20" xfId="0" applyNumberFormat="1" applyFont="1" applyFill="1" applyBorder="1" applyAlignment="1">
      <alignment horizontal="center" vertical="center"/>
    </xf>
    <xf numFmtId="10" fontId="2" fillId="0" borderId="0" xfId="0" applyNumberFormat="1" applyFont="1"/>
    <xf numFmtId="0" fontId="0" fillId="7" borderId="0" xfId="0" applyFill="1" applyAlignment="1">
      <alignment horizontal="center"/>
    </xf>
    <xf numFmtId="8" fontId="0" fillId="7" borderId="0" xfId="3" applyNumberFormat="1" applyFont="1" applyFill="1"/>
    <xf numFmtId="43" fontId="0" fillId="7" borderId="0" xfId="3" applyFont="1" applyFill="1"/>
    <xf numFmtId="44" fontId="0" fillId="7" borderId="0" xfId="1" applyFont="1" applyFill="1"/>
    <xf numFmtId="0" fontId="0" fillId="7" borderId="0" xfId="0" applyFill="1"/>
    <xf numFmtId="8" fontId="0" fillId="7" borderId="0" xfId="0" applyNumberFormat="1" applyFill="1"/>
    <xf numFmtId="0" fontId="0" fillId="6" borderId="0" xfId="0" applyFill="1" applyAlignment="1">
      <alignment horizontal="center"/>
    </xf>
    <xf numFmtId="8" fontId="0" fillId="6" borderId="0" xfId="3" applyNumberFormat="1" applyFont="1" applyFill="1"/>
    <xf numFmtId="43" fontId="0" fillId="6" borderId="0" xfId="3" applyFont="1" applyFill="1"/>
    <xf numFmtId="44" fontId="0" fillId="6" borderId="0" xfId="1" applyFont="1" applyFill="1"/>
    <xf numFmtId="8" fontId="0" fillId="6" borderId="0" xfId="0" applyNumberFormat="1" applyFill="1"/>
    <xf numFmtId="0" fontId="0" fillId="6" borderId="0" xfId="0" applyFill="1"/>
    <xf numFmtId="8" fontId="0" fillId="0" borderId="0" xfId="3" applyNumberFormat="1" applyFont="1" applyFill="1"/>
    <xf numFmtId="43" fontId="0" fillId="0" borderId="0" xfId="3" applyFont="1" applyFill="1"/>
    <xf numFmtId="44" fontId="0" fillId="0" borderId="0" xfId="1" applyFont="1" applyFill="1"/>
    <xf numFmtId="10" fontId="0" fillId="0" borderId="0" xfId="0" applyNumberFormat="1"/>
    <xf numFmtId="3" fontId="2" fillId="0" borderId="0" xfId="0" applyNumberFormat="1" applyFont="1" applyAlignment="1">
      <alignment horizontal="center" vertical="center"/>
    </xf>
    <xf numFmtId="3" fontId="2" fillId="0" borderId="11" xfId="0" applyNumberFormat="1" applyFont="1" applyBorder="1" applyAlignment="1">
      <alignment horizontal="center" vertical="center"/>
    </xf>
    <xf numFmtId="0" fontId="31" fillId="0" borderId="0" xfId="0" applyFont="1"/>
    <xf numFmtId="0" fontId="32" fillId="0" borderId="0" xfId="0" applyFont="1"/>
    <xf numFmtId="0" fontId="33" fillId="0" borderId="3" xfId="0" applyFont="1" applyBorder="1" applyAlignment="1">
      <alignment horizontal="centerContinuous"/>
    </xf>
    <xf numFmtId="0" fontId="34" fillId="0" borderId="3" xfId="0" applyFont="1" applyBorder="1" applyAlignment="1">
      <alignment horizontal="centerContinuous"/>
    </xf>
    <xf numFmtId="0" fontId="34" fillId="0" borderId="0" xfId="0" applyFont="1"/>
    <xf numFmtId="169" fontId="34" fillId="0" borderId="0" xfId="1" applyNumberFormat="1" applyFont="1" applyProtection="1">
      <protection locked="0"/>
    </xf>
    <xf numFmtId="0" fontId="35" fillId="0" borderId="0" xfId="0" applyFont="1"/>
    <xf numFmtId="173" fontId="35" fillId="0" borderId="0" xfId="0" applyNumberFormat="1" applyFont="1"/>
    <xf numFmtId="175" fontId="34" fillId="0" borderId="0" xfId="3" applyNumberFormat="1" applyFont="1" applyProtection="1">
      <protection locked="0"/>
    </xf>
    <xf numFmtId="8" fontId="35" fillId="0" borderId="0" xfId="0" applyNumberFormat="1" applyFont="1"/>
    <xf numFmtId="10" fontId="34" fillId="0" borderId="0" xfId="0" applyNumberFormat="1" applyFont="1" applyProtection="1">
      <protection locked="0"/>
    </xf>
    <xf numFmtId="8" fontId="34" fillId="0" borderId="0" xfId="1" applyNumberFormat="1" applyFont="1" applyProtection="1"/>
    <xf numFmtId="6" fontId="36" fillId="11" borderId="0" xfId="0" applyNumberFormat="1" applyFont="1" applyFill="1" applyProtection="1">
      <protection locked="0"/>
    </xf>
    <xf numFmtId="6" fontId="34" fillId="0" borderId="0" xfId="1" applyNumberFormat="1" applyFont="1" applyProtection="1">
      <protection locked="0"/>
    </xf>
    <xf numFmtId="177" fontId="37" fillId="0" borderId="0" xfId="0" applyNumberFormat="1" applyFont="1" applyAlignment="1">
      <alignment horizontal="right"/>
    </xf>
    <xf numFmtId="176" fontId="37" fillId="0" borderId="0" xfId="0" applyNumberFormat="1" applyFont="1" applyAlignment="1">
      <alignment horizontal="right"/>
    </xf>
    <xf numFmtId="0" fontId="38" fillId="0" borderId="0" xfId="0" applyFont="1"/>
    <xf numFmtId="0" fontId="2" fillId="14" borderId="3" xfId="0" applyFont="1" applyFill="1" applyBorder="1"/>
    <xf numFmtId="43" fontId="2" fillId="14" borderId="12" xfId="0" applyNumberFormat="1" applyFont="1" applyFill="1" applyBorder="1"/>
    <xf numFmtId="10" fontId="9" fillId="14" borderId="7" xfId="0" applyNumberFormat="1" applyFont="1" applyFill="1" applyBorder="1" applyAlignment="1">
      <alignment horizontal="left"/>
    </xf>
    <xf numFmtId="170" fontId="2" fillId="13" borderId="0" xfId="0" applyNumberFormat="1" applyFont="1" applyFill="1" applyAlignment="1" applyProtection="1">
      <alignment horizontal="center" vertical="center"/>
      <protection locked="0"/>
    </xf>
    <xf numFmtId="165" fontId="2" fillId="13" borderId="16" xfId="0" applyNumberFormat="1" applyFont="1" applyFill="1" applyBorder="1" applyAlignment="1" applyProtection="1">
      <alignment horizontal="left" vertical="center"/>
      <protection locked="0"/>
    </xf>
    <xf numFmtId="170" fontId="2" fillId="13" borderId="0" xfId="0" applyNumberFormat="1" applyFont="1" applyFill="1" applyAlignment="1" applyProtection="1">
      <alignment horizontal="center"/>
      <protection locked="0"/>
    </xf>
    <xf numFmtId="165" fontId="2" fillId="0" borderId="0" xfId="0" applyNumberFormat="1" applyFont="1" applyAlignment="1">
      <alignment horizontal="center" vertical="center"/>
    </xf>
    <xf numFmtId="165" fontId="2" fillId="13" borderId="0" xfId="0" applyNumberFormat="1" applyFont="1" applyFill="1" applyAlignment="1" applyProtection="1">
      <alignment horizontal="center"/>
      <protection locked="0"/>
    </xf>
    <xf numFmtId="165" fontId="2" fillId="0" borderId="0" xfId="0" applyNumberFormat="1" applyFont="1" applyAlignment="1">
      <alignment horizontal="center"/>
    </xf>
    <xf numFmtId="165" fontId="2" fillId="13" borderId="13" xfId="0" applyNumberFormat="1" applyFont="1" applyFill="1" applyBorder="1" applyAlignment="1" applyProtection="1">
      <alignment horizontal="center"/>
      <protection locked="0"/>
    </xf>
    <xf numFmtId="165" fontId="2" fillId="0" borderId="14" xfId="0" applyNumberFormat="1" applyFont="1" applyBorder="1" applyAlignment="1">
      <alignment horizontal="center"/>
    </xf>
    <xf numFmtId="6" fontId="2" fillId="0" borderId="15" xfId="0" applyNumberFormat="1" applyFont="1" applyBorder="1" applyAlignment="1">
      <alignment horizontal="center" vertical="center"/>
    </xf>
    <xf numFmtId="6" fontId="4" fillId="13" borderId="5" xfId="0" applyNumberFormat="1" applyFont="1" applyFill="1" applyBorder="1" applyAlignment="1" applyProtection="1">
      <alignment horizontal="center" vertical="center"/>
      <protection locked="0"/>
    </xf>
    <xf numFmtId="9" fontId="2" fillId="13" borderId="17" xfId="0" applyNumberFormat="1" applyFont="1" applyFill="1" applyBorder="1" applyAlignment="1" applyProtection="1">
      <alignment horizontal="center" vertical="center"/>
      <protection locked="0"/>
    </xf>
    <xf numFmtId="9" fontId="2" fillId="13" borderId="15" xfId="0" applyNumberFormat="1" applyFont="1" applyFill="1" applyBorder="1" applyAlignment="1" applyProtection="1">
      <alignment horizontal="center" vertical="center"/>
      <protection locked="0"/>
    </xf>
    <xf numFmtId="170" fontId="2" fillId="13" borderId="15" xfId="0" applyNumberFormat="1" applyFont="1" applyFill="1" applyBorder="1" applyAlignment="1" applyProtection="1">
      <alignment horizontal="center" vertical="center"/>
      <protection locked="0"/>
    </xf>
    <xf numFmtId="165" fontId="2" fillId="0" borderId="15" xfId="0" applyNumberFormat="1" applyFont="1" applyBorder="1" applyAlignment="1">
      <alignment horizontal="center" vertical="center"/>
    </xf>
    <xf numFmtId="6" fontId="2" fillId="13" borderId="15" xfId="0" applyNumberFormat="1" applyFont="1" applyFill="1" applyBorder="1" applyAlignment="1" applyProtection="1">
      <alignment horizontal="center" vertical="center"/>
      <protection locked="0"/>
    </xf>
    <xf numFmtId="171" fontId="2" fillId="0" borderId="15" xfId="0" applyNumberFormat="1" applyFont="1" applyBorder="1" applyAlignment="1">
      <alignment horizontal="center" vertical="center"/>
    </xf>
    <xf numFmtId="0" fontId="2" fillId="13" borderId="15" xfId="0" applyFont="1" applyFill="1" applyBorder="1" applyAlignment="1" applyProtection="1">
      <alignment horizontal="center" vertical="center"/>
      <protection locked="0"/>
    </xf>
    <xf numFmtId="0" fontId="2" fillId="0" borderId="15" xfId="0" applyFont="1" applyBorder="1" applyAlignment="1">
      <alignment horizontal="center" vertical="center"/>
    </xf>
    <xf numFmtId="165" fontId="2" fillId="0" borderId="11" xfId="0" applyNumberFormat="1" applyFont="1" applyBorder="1" applyAlignment="1">
      <alignment horizontal="center" vertical="center"/>
    </xf>
    <xf numFmtId="165" fontId="2" fillId="0" borderId="14" xfId="0" applyNumberFormat="1" applyFont="1" applyBorder="1" applyAlignment="1">
      <alignment horizontal="center" vertical="center"/>
    </xf>
    <xf numFmtId="164" fontId="2" fillId="0" borderId="13" xfId="0" applyNumberFormat="1" applyFont="1" applyBorder="1" applyAlignment="1">
      <alignment horizontal="center" vertical="center"/>
    </xf>
    <xf numFmtId="165" fontId="4" fillId="0" borderId="0" xfId="0" applyNumberFormat="1" applyFont="1" applyAlignment="1">
      <alignment horizontal="center" vertical="center"/>
    </xf>
    <xf numFmtId="165" fontId="2" fillId="0" borderId="11" xfId="0" applyNumberFormat="1" applyFont="1" applyBorder="1" applyAlignment="1">
      <alignment horizontal="center"/>
    </xf>
    <xf numFmtId="165" fontId="2" fillId="13" borderId="11" xfId="0" applyNumberFormat="1" applyFont="1" applyFill="1" applyBorder="1" applyAlignment="1" applyProtection="1">
      <alignment horizontal="center"/>
      <protection locked="0"/>
    </xf>
    <xf numFmtId="165" fontId="4" fillId="14" borderId="0" xfId="0" applyNumberFormat="1" applyFont="1" applyFill="1" applyAlignment="1">
      <alignment horizontal="center"/>
    </xf>
    <xf numFmtId="165" fontId="4" fillId="14" borderId="11" xfId="0" applyNumberFormat="1" applyFont="1" applyFill="1" applyBorder="1" applyAlignment="1">
      <alignment horizontal="center"/>
    </xf>
    <xf numFmtId="165" fontId="2" fillId="0" borderId="13" xfId="0" applyNumberFormat="1" applyFont="1" applyBorder="1" applyAlignment="1">
      <alignment horizontal="center"/>
    </xf>
    <xf numFmtId="165" fontId="4" fillId="6" borderId="0" xfId="0" applyNumberFormat="1" applyFont="1" applyFill="1" applyAlignment="1">
      <alignment horizontal="center"/>
    </xf>
    <xf numFmtId="165" fontId="4" fillId="6" borderId="11" xfId="0" applyNumberFormat="1" applyFont="1" applyFill="1" applyBorder="1" applyAlignment="1">
      <alignment horizontal="center"/>
    </xf>
    <xf numFmtId="165" fontId="2" fillId="0" borderId="13" xfId="0" applyNumberFormat="1" applyFont="1" applyBorder="1" applyAlignment="1">
      <alignment horizontal="center" vertical="center"/>
    </xf>
    <xf numFmtId="165" fontId="4" fillId="14" borderId="0" xfId="0" applyNumberFormat="1" applyFont="1" applyFill="1" applyAlignment="1">
      <alignment horizontal="center" vertical="center"/>
    </xf>
    <xf numFmtId="165" fontId="4" fillId="14" borderId="11" xfId="0" applyNumberFormat="1" applyFont="1" applyFill="1" applyBorder="1" applyAlignment="1">
      <alignment horizontal="center" vertical="center"/>
    </xf>
    <xf numFmtId="170" fontId="2" fillId="0" borderId="0" xfId="0" applyNumberFormat="1" applyFont="1" applyAlignment="1">
      <alignment horizontal="center" vertical="center"/>
    </xf>
    <xf numFmtId="170" fontId="2" fillId="0" borderId="11" xfId="0" applyNumberFormat="1" applyFont="1" applyBorder="1" applyAlignment="1">
      <alignment horizontal="center" vertical="center"/>
    </xf>
    <xf numFmtId="170" fontId="2" fillId="0" borderId="3" xfId="0" applyNumberFormat="1" applyFont="1" applyBorder="1" applyAlignment="1">
      <alignment horizontal="center"/>
    </xf>
    <xf numFmtId="170" fontId="2" fillId="0" borderId="12" xfId="0" applyNumberFormat="1" applyFont="1" applyBorder="1" applyAlignment="1">
      <alignment horizontal="center"/>
    </xf>
    <xf numFmtId="170" fontId="23" fillId="10" borderId="42" xfId="0" applyNumberFormat="1" applyFont="1" applyFill="1" applyBorder="1" applyAlignment="1" applyProtection="1">
      <alignment horizontal="center" vertical="center"/>
      <protection locked="0"/>
    </xf>
    <xf numFmtId="170" fontId="23" fillId="10" borderId="43" xfId="0" applyNumberFormat="1" applyFont="1" applyFill="1" applyBorder="1" applyAlignment="1" applyProtection="1">
      <alignment horizontal="center" vertical="center"/>
      <protection locked="0"/>
    </xf>
    <xf numFmtId="170" fontId="23" fillId="10" borderId="22" xfId="0" applyNumberFormat="1" applyFont="1" applyFill="1" applyBorder="1" applyAlignment="1" applyProtection="1">
      <alignment horizontal="center" vertical="center"/>
      <protection locked="0"/>
    </xf>
    <xf numFmtId="165" fontId="2" fillId="0" borderId="0" xfId="0" applyNumberFormat="1" applyFont="1"/>
    <xf numFmtId="0" fontId="2" fillId="13" borderId="19" xfId="0" applyFont="1" applyFill="1" applyBorder="1" applyAlignment="1" applyProtection="1">
      <alignment horizontal="center"/>
      <protection locked="0"/>
    </xf>
    <xf numFmtId="6" fontId="4" fillId="14" borderId="15" xfId="0" applyNumberFormat="1" applyFont="1" applyFill="1" applyBorder="1" applyAlignment="1">
      <alignment horizontal="center" vertical="center"/>
    </xf>
    <xf numFmtId="6" fontId="4" fillId="14" borderId="16" xfId="0" applyNumberFormat="1" applyFont="1" applyFill="1" applyBorder="1" applyAlignment="1">
      <alignment horizontal="center" vertical="center"/>
    </xf>
    <xf numFmtId="170" fontId="20" fillId="13" borderId="0" xfId="0" applyNumberFormat="1" applyFont="1" applyFill="1" applyAlignment="1" applyProtection="1">
      <alignment horizontal="center" vertical="center"/>
      <protection locked="0"/>
    </xf>
    <xf numFmtId="0" fontId="4" fillId="15" borderId="0" xfId="0" applyFont="1" applyFill="1" applyAlignment="1">
      <alignment horizontal="center" vertical="center"/>
    </xf>
    <xf numFmtId="3" fontId="2" fillId="15" borderId="0" xfId="0" applyNumberFormat="1" applyFont="1" applyFill="1" applyAlignment="1">
      <alignment horizontal="center" vertical="center"/>
    </xf>
    <xf numFmtId="0" fontId="2" fillId="0" borderId="1" xfId="0" applyFont="1" applyBorder="1" applyProtection="1">
      <protection locked="0"/>
    </xf>
    <xf numFmtId="165" fontId="2" fillId="0" borderId="44" xfId="0" applyNumberFormat="1" applyFont="1" applyBorder="1" applyAlignment="1">
      <alignment horizontal="center"/>
    </xf>
    <xf numFmtId="170" fontId="2" fillId="7" borderId="0" xfId="0" applyNumberFormat="1" applyFont="1" applyFill="1" applyAlignment="1">
      <alignment horizontal="center" vertical="center"/>
    </xf>
    <xf numFmtId="0" fontId="2" fillId="10" borderId="0" xfId="0" applyFont="1" applyFill="1"/>
    <xf numFmtId="164" fontId="45" fillId="0" borderId="0" xfId="0" applyNumberFormat="1" applyFont="1"/>
    <xf numFmtId="0" fontId="45" fillId="0" borderId="0" xfId="0" applyFont="1"/>
    <xf numFmtId="0" fontId="45" fillId="0" borderId="1" xfId="0" applyFont="1" applyBorder="1" applyAlignment="1">
      <alignment horizontal="left"/>
    </xf>
    <xf numFmtId="0" fontId="45" fillId="0" borderId="0" xfId="0" applyFont="1" applyAlignment="1">
      <alignment horizontal="center" vertical="center"/>
    </xf>
    <xf numFmtId="6" fontId="45" fillId="0" borderId="15" xfId="0" applyNumberFormat="1" applyFont="1" applyBorder="1" applyAlignment="1">
      <alignment horizontal="left" vertical="center"/>
    </xf>
    <xf numFmtId="43" fontId="45" fillId="0" borderId="11" xfId="0" applyNumberFormat="1" applyFont="1" applyBorder="1"/>
    <xf numFmtId="9" fontId="45" fillId="10" borderId="15" xfId="0" applyNumberFormat="1" applyFont="1" applyFill="1" applyBorder="1" applyAlignment="1" applyProtection="1">
      <alignment horizontal="left" vertical="center"/>
      <protection locked="0"/>
    </xf>
    <xf numFmtId="8" fontId="45" fillId="0" borderId="15" xfId="0" applyNumberFormat="1" applyFont="1" applyBorder="1" applyAlignment="1">
      <alignment horizontal="left" vertical="center"/>
    </xf>
    <xf numFmtId="10" fontId="45" fillId="10" borderId="15" xfId="0" applyNumberFormat="1" applyFont="1" applyFill="1" applyBorder="1" applyAlignment="1" applyProtection="1">
      <alignment horizontal="left" vertical="center"/>
      <protection locked="0"/>
    </xf>
    <xf numFmtId="10" fontId="45" fillId="10" borderId="0" xfId="0" applyNumberFormat="1" applyFont="1" applyFill="1" applyAlignment="1" applyProtection="1">
      <alignment horizontal="center" vertical="center"/>
      <protection locked="0"/>
    </xf>
    <xf numFmtId="164" fontId="45" fillId="0" borderId="15" xfId="0" applyNumberFormat="1" applyFont="1" applyBorder="1" applyAlignment="1">
      <alignment horizontal="left" vertical="center"/>
    </xf>
    <xf numFmtId="6" fontId="45" fillId="10" borderId="15" xfId="0" applyNumberFormat="1" applyFont="1" applyFill="1" applyBorder="1" applyAlignment="1" applyProtection="1">
      <alignment horizontal="left" vertical="center"/>
      <protection locked="0"/>
    </xf>
    <xf numFmtId="171" fontId="45" fillId="0" borderId="15" xfId="0" applyNumberFormat="1" applyFont="1" applyBorder="1" applyAlignment="1">
      <alignment horizontal="left" vertical="center"/>
    </xf>
    <xf numFmtId="0" fontId="45" fillId="10" borderId="15" xfId="0" applyFont="1" applyFill="1" applyBorder="1" applyAlignment="1" applyProtection="1">
      <alignment horizontal="left" vertical="center"/>
      <protection locked="0"/>
    </xf>
    <xf numFmtId="0" fontId="45" fillId="0" borderId="15" xfId="0" applyFont="1" applyBorder="1" applyAlignment="1">
      <alignment horizontal="left" vertical="center"/>
    </xf>
    <xf numFmtId="0" fontId="45" fillId="0" borderId="0" xfId="0" applyFont="1" applyAlignment="1">
      <alignment horizontal="left"/>
    </xf>
    <xf numFmtId="0" fontId="45" fillId="0" borderId="0" xfId="0" applyFont="1" applyAlignment="1">
      <alignment horizontal="left" vertical="center"/>
    </xf>
    <xf numFmtId="0" fontId="47" fillId="0" borderId="1" xfId="0" applyFont="1" applyBorder="1" applyAlignment="1">
      <alignment horizontal="left"/>
    </xf>
    <xf numFmtId="0" fontId="47" fillId="0" borderId="0" xfId="0" applyFont="1" applyAlignment="1">
      <alignment horizontal="left"/>
    </xf>
    <xf numFmtId="0" fontId="47" fillId="0" borderId="0" xfId="0" applyFont="1"/>
    <xf numFmtId="8" fontId="47" fillId="14" borderId="15" xfId="0" applyNumberFormat="1" applyFont="1" applyFill="1" applyBorder="1" applyAlignment="1">
      <alignment horizontal="left" vertical="center"/>
    </xf>
    <xf numFmtId="8" fontId="47" fillId="14" borderId="16" xfId="0" applyNumberFormat="1" applyFont="1" applyFill="1" applyBorder="1" applyAlignment="1">
      <alignment horizontal="left" vertical="center"/>
    </xf>
    <xf numFmtId="0" fontId="45" fillId="0" borderId="2" xfId="0" applyFont="1" applyBorder="1"/>
    <xf numFmtId="0" fontId="45" fillId="0" borderId="3" xfId="0" applyFont="1" applyBorder="1"/>
    <xf numFmtId="43" fontId="45" fillId="0" borderId="12" xfId="0" applyNumberFormat="1" applyFont="1" applyBorder="1"/>
    <xf numFmtId="0" fontId="47" fillId="3" borderId="6" xfId="0" applyFont="1" applyFill="1" applyBorder="1" applyAlignment="1">
      <alignment vertical="center"/>
    </xf>
    <xf numFmtId="0" fontId="47" fillId="3" borderId="5" xfId="0" applyFont="1" applyFill="1" applyBorder="1" applyAlignment="1">
      <alignment horizontal="center" vertical="center"/>
    </xf>
    <xf numFmtId="0" fontId="47" fillId="3" borderId="5" xfId="0" applyFont="1" applyFill="1" applyBorder="1" applyAlignment="1">
      <alignment vertical="center"/>
    </xf>
    <xf numFmtId="0" fontId="47" fillId="3" borderId="7" xfId="0" applyFont="1" applyFill="1" applyBorder="1" applyAlignment="1">
      <alignment vertical="center"/>
    </xf>
    <xf numFmtId="0" fontId="45" fillId="0" borderId="1" xfId="0" applyFont="1" applyBorder="1"/>
    <xf numFmtId="0" fontId="45" fillId="0" borderId="0" xfId="0" applyFont="1" applyAlignment="1">
      <alignment horizontal="center"/>
    </xf>
    <xf numFmtId="164" fontId="45" fillId="6" borderId="0" xfId="0" applyNumberFormat="1" applyFont="1" applyFill="1" applyAlignment="1">
      <alignment horizontal="left"/>
    </xf>
    <xf numFmtId="164" fontId="45" fillId="0" borderId="11" xfId="0" applyNumberFormat="1" applyFont="1" applyBorder="1" applyAlignment="1">
      <alignment horizontal="left" vertical="center"/>
    </xf>
    <xf numFmtId="164" fontId="45" fillId="10" borderId="0" xfId="0" applyNumberFormat="1" applyFont="1" applyFill="1" applyAlignment="1" applyProtection="1">
      <alignment horizontal="left"/>
      <protection locked="0"/>
    </xf>
    <xf numFmtId="164" fontId="45" fillId="0" borderId="11" xfId="0" applyNumberFormat="1" applyFont="1" applyBorder="1"/>
    <xf numFmtId="0" fontId="45" fillId="0" borderId="13" xfId="0" applyFont="1" applyBorder="1"/>
    <xf numFmtId="164" fontId="45" fillId="0" borderId="14" xfId="0" applyNumberFormat="1" applyFont="1" applyBorder="1"/>
    <xf numFmtId="164" fontId="45" fillId="0" borderId="0" xfId="0" applyNumberFormat="1" applyFont="1" applyAlignment="1">
      <alignment horizontal="left" vertical="center"/>
    </xf>
    <xf numFmtId="10" fontId="45" fillId="10" borderId="0" xfId="0" applyNumberFormat="1" applyFont="1" applyFill="1" applyAlignment="1" applyProtection="1">
      <alignment horizontal="center"/>
      <protection locked="0"/>
    </xf>
    <xf numFmtId="164" fontId="45" fillId="0" borderId="13" xfId="0" applyNumberFormat="1" applyFont="1" applyBorder="1" applyAlignment="1">
      <alignment horizontal="left" vertical="center"/>
    </xf>
    <xf numFmtId="164" fontId="45" fillId="0" borderId="14" xfId="0" applyNumberFormat="1" applyFont="1" applyBorder="1" applyAlignment="1">
      <alignment horizontal="left" vertical="center"/>
    </xf>
    <xf numFmtId="0" fontId="47" fillId="0" borderId="1" xfId="0" applyFont="1" applyBorder="1"/>
    <xf numFmtId="0" fontId="47" fillId="0" borderId="0" xfId="0" applyFont="1" applyAlignment="1">
      <alignment horizontal="center"/>
    </xf>
    <xf numFmtId="164" fontId="47" fillId="0" borderId="0" xfId="0" applyNumberFormat="1" applyFont="1" applyAlignment="1">
      <alignment horizontal="left" vertical="center"/>
    </xf>
    <xf numFmtId="164" fontId="45" fillId="0" borderId="0" xfId="0" applyNumberFormat="1" applyFont="1" applyAlignment="1">
      <alignment horizontal="right"/>
    </xf>
    <xf numFmtId="10" fontId="45" fillId="0" borderId="0" xfId="0" applyNumberFormat="1" applyFont="1" applyAlignment="1">
      <alignment horizontal="center" vertical="center"/>
    </xf>
    <xf numFmtId="0" fontId="45" fillId="0" borderId="0" xfId="0" applyFont="1" applyAlignment="1">
      <alignment horizontal="right"/>
    </xf>
    <xf numFmtId="164" fontId="47" fillId="14" borderId="0" xfId="0" applyNumberFormat="1" applyFont="1" applyFill="1"/>
    <xf numFmtId="164" fontId="47" fillId="14" borderId="11" xfId="0" applyNumberFormat="1" applyFont="1" applyFill="1" applyBorder="1"/>
    <xf numFmtId="0" fontId="45" fillId="14" borderId="3" xfId="0" applyFont="1" applyFill="1" applyBorder="1"/>
    <xf numFmtId="43" fontId="45" fillId="14" borderId="12" xfId="0" applyNumberFormat="1" applyFont="1" applyFill="1" applyBorder="1"/>
    <xf numFmtId="0" fontId="47" fillId="3" borderId="6" xfId="0" applyFont="1" applyFill="1" applyBorder="1"/>
    <xf numFmtId="0" fontId="47" fillId="3" borderId="5" xfId="0" applyFont="1" applyFill="1" applyBorder="1"/>
    <xf numFmtId="0" fontId="45" fillId="0" borderId="13" xfId="0" applyFont="1" applyBorder="1" applyAlignment="1">
      <alignment horizontal="right"/>
    </xf>
    <xf numFmtId="43" fontId="45" fillId="0" borderId="14" xfId="0" applyNumberFormat="1" applyFont="1" applyBorder="1"/>
    <xf numFmtId="0" fontId="47" fillId="0" borderId="0" xfId="0" applyFont="1" applyAlignment="1">
      <alignment horizontal="center" vertical="center"/>
    </xf>
    <xf numFmtId="164" fontId="47" fillId="6" borderId="0" xfId="0" applyNumberFormat="1" applyFont="1" applyFill="1" applyAlignment="1">
      <alignment horizontal="right"/>
    </xf>
    <xf numFmtId="164" fontId="47" fillId="6" borderId="11" xfId="0" applyNumberFormat="1" applyFont="1" applyFill="1" applyBorder="1"/>
    <xf numFmtId="164" fontId="45" fillId="0" borderId="0" xfId="0" applyNumberFormat="1" applyFont="1" applyAlignment="1">
      <alignment horizontal="center" vertical="center"/>
    </xf>
    <xf numFmtId="164" fontId="45" fillId="0" borderId="11" xfId="0" applyNumberFormat="1" applyFont="1" applyBorder="1" applyAlignment="1">
      <alignment horizontal="center" vertical="center"/>
    </xf>
    <xf numFmtId="0" fontId="45" fillId="0" borderId="13" xfId="0" applyFont="1" applyBorder="1" applyAlignment="1">
      <alignment horizontal="center" vertical="center"/>
    </xf>
    <xf numFmtId="43" fontId="45" fillId="0" borderId="14" xfId="0" applyNumberFormat="1" applyFont="1" applyBorder="1" applyAlignment="1">
      <alignment horizontal="center" vertical="center"/>
    </xf>
    <xf numFmtId="164" fontId="47" fillId="14" borderId="0" xfId="0" applyNumberFormat="1" applyFont="1" applyFill="1" applyAlignment="1">
      <alignment horizontal="center" vertical="center"/>
    </xf>
    <xf numFmtId="164" fontId="47" fillId="14" borderId="11" xfId="0" applyNumberFormat="1" applyFont="1" applyFill="1" applyBorder="1" applyAlignment="1">
      <alignment horizontal="center" vertical="center"/>
    </xf>
    <xf numFmtId="0" fontId="2" fillId="13" borderId="39" xfId="0" applyFont="1" applyFill="1" applyBorder="1" applyAlignment="1">
      <alignment horizontal="center" vertical="center"/>
    </xf>
    <xf numFmtId="9" fontId="2" fillId="13" borderId="39" xfId="2" applyFont="1" applyFill="1" applyBorder="1" applyAlignment="1">
      <alignment horizontal="center" vertical="center"/>
    </xf>
    <xf numFmtId="0" fontId="2" fillId="10" borderId="1" xfId="0" applyFont="1" applyFill="1" applyBorder="1" applyAlignment="1">
      <alignment horizontal="left"/>
    </xf>
    <xf numFmtId="0" fontId="2" fillId="10" borderId="0" xfId="0" applyFont="1" applyFill="1" applyAlignment="1">
      <alignment horizontal="center" vertical="center"/>
    </xf>
    <xf numFmtId="0" fontId="2" fillId="6" borderId="0" xfId="0" applyFont="1" applyFill="1"/>
    <xf numFmtId="169" fontId="2" fillId="0" borderId="0" xfId="1" applyNumberFormat="1" applyFont="1" applyFill="1" applyBorder="1"/>
    <xf numFmtId="0" fontId="1" fillId="0" borderId="0" xfId="0" applyFont="1"/>
    <xf numFmtId="44" fontId="0" fillId="0" borderId="0" xfId="0" applyNumberFormat="1"/>
    <xf numFmtId="44" fontId="2" fillId="0" borderId="0" xfId="1" applyFont="1" applyAlignment="1">
      <alignment horizontal="center"/>
    </xf>
    <xf numFmtId="43" fontId="2" fillId="0" borderId="11" xfId="0" applyNumberFormat="1" applyFont="1" applyBorder="1" applyAlignment="1">
      <alignment horizontal="center"/>
    </xf>
    <xf numFmtId="42" fontId="4" fillId="13" borderId="0" xfId="1" applyNumberFormat="1" applyFont="1" applyFill="1" applyAlignment="1" applyProtection="1">
      <alignment horizontal="center" vertical="center"/>
      <protection locked="0"/>
    </xf>
    <xf numFmtId="0" fontId="22" fillId="0" borderId="0" xfId="0" applyFont="1" applyAlignment="1">
      <alignment horizontal="right" vertical="center" wrapText="1"/>
    </xf>
    <xf numFmtId="0" fontId="2" fillId="0" borderId="0" xfId="0" applyFont="1" applyAlignment="1" applyProtection="1">
      <alignment vertical="top" wrapText="1"/>
      <protection locked="0"/>
    </xf>
    <xf numFmtId="44" fontId="2" fillId="0" borderId="0" xfId="1" applyFont="1" applyFill="1" applyBorder="1" applyAlignment="1" applyProtection="1">
      <alignment vertical="top" wrapText="1"/>
      <protection locked="0"/>
    </xf>
    <xf numFmtId="169" fontId="2" fillId="0" borderId="0" xfId="1" applyNumberFormat="1" applyFont="1" applyFill="1" applyBorder="1" applyProtection="1">
      <protection locked="0"/>
    </xf>
    <xf numFmtId="0" fontId="9" fillId="3" borderId="4" xfId="0" applyFont="1" applyFill="1" applyBorder="1" applyAlignment="1">
      <alignment vertical="center"/>
    </xf>
    <xf numFmtId="165" fontId="2" fillId="0" borderId="19" xfId="0" applyNumberFormat="1" applyFont="1" applyBorder="1" applyAlignment="1">
      <alignment horizontal="center" vertical="center"/>
    </xf>
    <xf numFmtId="165" fontId="2" fillId="13" borderId="15" xfId="0" applyNumberFormat="1" applyFont="1" applyFill="1" applyBorder="1" applyAlignment="1" applyProtection="1">
      <alignment horizontal="center"/>
      <protection locked="0"/>
    </xf>
    <xf numFmtId="165" fontId="2" fillId="0" borderId="16" xfId="0" applyNumberFormat="1" applyFont="1" applyBorder="1" applyAlignment="1">
      <alignment horizontal="center"/>
    </xf>
    <xf numFmtId="165" fontId="2" fillId="0" borderId="16" xfId="0" applyNumberFormat="1" applyFont="1" applyBorder="1" applyAlignment="1">
      <alignment horizontal="center" vertical="center"/>
    </xf>
    <xf numFmtId="165" fontId="2" fillId="13" borderId="17" xfId="0" applyNumberFormat="1" applyFont="1" applyFill="1" applyBorder="1" applyAlignment="1" applyProtection="1">
      <alignment horizontal="center"/>
      <protection locked="0"/>
    </xf>
    <xf numFmtId="0" fontId="39" fillId="0" borderId="0" xfId="0" applyFont="1"/>
    <xf numFmtId="6" fontId="2" fillId="0" borderId="0" xfId="0" applyNumberFormat="1" applyFont="1"/>
    <xf numFmtId="178" fontId="39" fillId="0" borderId="0" xfId="0" applyNumberFormat="1" applyFont="1"/>
    <xf numFmtId="9" fontId="44" fillId="0" borderId="0" xfId="0" applyNumberFormat="1" applyFont="1"/>
    <xf numFmtId="165" fontId="45" fillId="0" borderId="0" xfId="0" applyNumberFormat="1" applyFont="1" applyAlignment="1">
      <alignment horizontal="center"/>
    </xf>
    <xf numFmtId="164" fontId="2" fillId="0" borderId="0" xfId="0" applyNumberFormat="1" applyFont="1" applyAlignment="1">
      <alignment horizontal="left"/>
    </xf>
    <xf numFmtId="0" fontId="40" fillId="0" borderId="0" xfId="0" applyFont="1"/>
    <xf numFmtId="9" fontId="2" fillId="0" borderId="0" xfId="2" applyFont="1" applyFill="1" applyBorder="1" applyAlignment="1"/>
    <xf numFmtId="0" fontId="46" fillId="0" borderId="0" xfId="0" applyFont="1"/>
    <xf numFmtId="1" fontId="41" fillId="0" borderId="0" xfId="0" applyNumberFormat="1" applyFont="1" applyAlignment="1">
      <alignment horizontal="right"/>
    </xf>
    <xf numFmtId="0" fontId="22" fillId="0" borderId="0" xfId="0" applyFont="1"/>
    <xf numFmtId="165" fontId="2" fillId="0" borderId="0" xfId="1" applyNumberFormat="1" applyFont="1" applyFill="1" applyBorder="1" applyAlignment="1"/>
    <xf numFmtId="169" fontId="2" fillId="13" borderId="39" xfId="1" applyNumberFormat="1" applyFont="1" applyFill="1" applyBorder="1" applyAlignment="1">
      <alignment horizontal="center" vertical="center"/>
    </xf>
    <xf numFmtId="169" fontId="2" fillId="10" borderId="0" xfId="1" applyNumberFormat="1" applyFont="1" applyFill="1" applyBorder="1"/>
    <xf numFmtId="0" fontId="2" fillId="10" borderId="0" xfId="0" applyFont="1" applyFill="1" applyAlignment="1">
      <alignment horizontal="center"/>
    </xf>
    <xf numFmtId="164" fontId="2" fillId="10" borderId="0" xfId="0" applyNumberFormat="1" applyFont="1" applyFill="1"/>
    <xf numFmtId="6" fontId="2" fillId="10" borderId="0" xfId="1" applyNumberFormat="1" applyFont="1" applyFill="1"/>
    <xf numFmtId="6" fontId="2" fillId="10" borderId="13" xfId="1" applyNumberFormat="1" applyFont="1" applyFill="1" applyBorder="1"/>
    <xf numFmtId="9" fontId="40" fillId="10" borderId="0" xfId="0" applyNumberFormat="1" applyFont="1" applyFill="1" applyAlignment="1">
      <alignment horizontal="left"/>
    </xf>
    <xf numFmtId="0" fontId="22" fillId="0" borderId="1" xfId="0" applyFont="1" applyBorder="1" applyAlignment="1">
      <alignment horizontal="center" vertical="center" wrapText="1"/>
    </xf>
    <xf numFmtId="0" fontId="9" fillId="3" borderId="5" xfId="0" applyFont="1" applyFill="1" applyBorder="1" applyAlignment="1">
      <alignment horizontal="right"/>
    </xf>
    <xf numFmtId="0" fontId="4" fillId="0" borderId="0" xfId="0" applyFont="1" applyAlignment="1">
      <alignment horizontal="center"/>
    </xf>
    <xf numFmtId="3" fontId="2" fillId="0" borderId="0" xfId="0" applyNumberFormat="1" applyFont="1" applyAlignment="1">
      <alignment horizontal="center"/>
    </xf>
    <xf numFmtId="0" fontId="8" fillId="4" borderId="21" xfId="0" applyFont="1" applyFill="1" applyBorder="1" applyAlignment="1">
      <alignment horizontal="center" vertical="center" textRotation="90"/>
    </xf>
    <xf numFmtId="0" fontId="8" fillId="4" borderId="18" xfId="0" applyFont="1" applyFill="1" applyBorder="1" applyAlignment="1">
      <alignment horizontal="center" vertical="center" textRotation="90"/>
    </xf>
    <xf numFmtId="0" fontId="8" fillId="4" borderId="22" xfId="0" applyFont="1" applyFill="1" applyBorder="1" applyAlignment="1">
      <alignment horizontal="center" vertical="center" textRotation="90"/>
    </xf>
    <xf numFmtId="0" fontId="7" fillId="4" borderId="21" xfId="0" applyFont="1" applyFill="1" applyBorder="1" applyAlignment="1">
      <alignment horizontal="center" vertical="center" textRotation="90"/>
    </xf>
    <xf numFmtId="0" fontId="7" fillId="4" borderId="18" xfId="0" applyFont="1" applyFill="1" applyBorder="1" applyAlignment="1">
      <alignment horizontal="center" vertical="center" textRotation="90"/>
    </xf>
    <xf numFmtId="0" fontId="7" fillId="4" borderId="22" xfId="0" applyFont="1" applyFill="1" applyBorder="1" applyAlignment="1">
      <alignment horizontal="center" vertical="center" textRotation="90"/>
    </xf>
    <xf numFmtId="0" fontId="5" fillId="5" borderId="6" xfId="0" applyFont="1" applyFill="1" applyBorder="1" applyAlignment="1">
      <alignment horizontal="center"/>
    </xf>
    <xf numFmtId="0" fontId="6" fillId="5" borderId="5" xfId="0" applyFont="1" applyFill="1" applyBorder="1" applyAlignment="1">
      <alignment horizontal="center"/>
    </xf>
    <xf numFmtId="0" fontId="6" fillId="5" borderId="7" xfId="0" applyFont="1" applyFill="1" applyBorder="1" applyAlignment="1">
      <alignment horizontal="center"/>
    </xf>
    <xf numFmtId="0" fontId="20" fillId="13" borderId="23" xfId="0" applyFont="1" applyFill="1" applyBorder="1" applyAlignment="1" applyProtection="1">
      <alignment horizontal="left" vertical="center"/>
      <protection locked="0"/>
    </xf>
    <xf numFmtId="0" fontId="20" fillId="13" borderId="17" xfId="0" applyFont="1" applyFill="1" applyBorder="1" applyAlignment="1" applyProtection="1">
      <alignment horizontal="left" vertical="center"/>
      <protection locked="0"/>
    </xf>
    <xf numFmtId="0" fontId="20" fillId="13" borderId="24" xfId="0" applyFont="1" applyFill="1" applyBorder="1" applyAlignment="1" applyProtection="1">
      <alignment horizontal="left" vertical="center"/>
      <protection locked="0"/>
    </xf>
    <xf numFmtId="0" fontId="20" fillId="13" borderId="8" xfId="0" applyFont="1" applyFill="1" applyBorder="1" applyAlignment="1" applyProtection="1">
      <alignment horizontal="left" vertical="center"/>
      <protection locked="0"/>
    </xf>
    <xf numFmtId="170" fontId="2" fillId="0" borderId="0" xfId="0" applyNumberFormat="1" applyFont="1" applyAlignment="1">
      <alignment horizontal="center"/>
    </xf>
    <xf numFmtId="170" fontId="2" fillId="6" borderId="0" xfId="0" applyNumberFormat="1" applyFont="1" applyFill="1" applyAlignment="1">
      <alignment horizontal="center"/>
    </xf>
    <xf numFmtId="170" fontId="2" fillId="0" borderId="3" xfId="0" applyNumberFormat="1" applyFont="1" applyBorder="1" applyAlignment="1">
      <alignment horizontal="center"/>
    </xf>
    <xf numFmtId="0" fontId="15" fillId="6" borderId="20" xfId="0" applyFont="1" applyFill="1" applyBorder="1" applyAlignment="1">
      <alignment horizontal="center" vertical="center" wrapText="1"/>
    </xf>
    <xf numFmtId="0" fontId="18" fillId="6" borderId="38" xfId="0" applyFont="1" applyFill="1" applyBorder="1" applyAlignment="1">
      <alignment horizontal="center" vertical="center"/>
    </xf>
    <xf numFmtId="0" fontId="18" fillId="6" borderId="39" xfId="0" applyFont="1" applyFill="1" applyBorder="1" applyAlignment="1">
      <alignment horizontal="center" vertical="center"/>
    </xf>
    <xf numFmtId="0" fontId="18" fillId="6" borderId="37" xfId="0" applyFont="1" applyFill="1" applyBorder="1" applyAlignment="1">
      <alignment horizontal="center" vertical="center"/>
    </xf>
    <xf numFmtId="170" fontId="2" fillId="7" borderId="11" xfId="0" applyNumberFormat="1" applyFont="1" applyFill="1" applyBorder="1" applyAlignment="1">
      <alignment horizontal="center" vertical="center"/>
    </xf>
  </cellXfs>
  <cellStyles count="4">
    <cellStyle name="Comma" xfId="3" builtinId="3"/>
    <cellStyle name="Currency" xfId="1" builtinId="4"/>
    <cellStyle name="Normal" xfId="0" builtinId="0"/>
    <cellStyle name="Percent" xfId="2" builtinId="5"/>
  </cellStyles>
  <dxfs count="6">
    <dxf>
      <font>
        <condense val="0"/>
        <extend val="0"/>
        <color auto="1"/>
      </font>
      <border>
        <bottom style="thin">
          <color indexed="64"/>
        </bottom>
      </border>
    </dxf>
    <dxf>
      <font>
        <condense val="0"/>
        <extend val="0"/>
        <color indexed="9"/>
      </font>
    </dxf>
    <dxf>
      <font>
        <strike val="0"/>
        <color theme="0"/>
      </font>
    </dxf>
    <dxf>
      <font>
        <condense val="0"/>
        <extend val="0"/>
        <color auto="1"/>
      </font>
      <border>
        <bottom style="thin">
          <color indexed="64"/>
        </bottom>
      </border>
    </dxf>
    <dxf>
      <font>
        <condense val="0"/>
        <extend val="0"/>
        <color indexed="9"/>
      </font>
    </dxf>
    <dxf>
      <font>
        <strike val="0"/>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2.xml"/><Relationship Id="rId7"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worksheet" Target="worksheets/sheet5.xml"/><Relationship Id="rId11" Type="http://schemas.openxmlformats.org/officeDocument/2006/relationships/calcChain" Target="calcChain.xml"/><Relationship Id="rId5" Type="http://schemas.openxmlformats.org/officeDocument/2006/relationships/worksheet" Target="worksheets/sheet4.xml"/><Relationship Id="rId10" Type="http://schemas.microsoft.com/office/2017/10/relationships/person" Target="persons/person.xml"/><Relationship Id="rId4" Type="http://schemas.openxmlformats.org/officeDocument/2006/relationships/worksheet" Target="worksheets/sheet3.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multiLvlStrRef>
              <c:f>'Analysis Worksheet'!$A$2:$G$24</c:f>
              <c:multiLvlStrCache>
                <c:ptCount val="7"/>
                <c:lvl>
                  <c:pt idx="5">
                    <c:v>Monthly</c:v>
                  </c:pt>
                  <c:pt idx="6">
                    <c:v> Annual </c:v>
                  </c:pt>
                </c:lvl>
                <c:lvl>
                  <c:pt idx="1">
                    <c:v>Monthly Payment on #2 Loan</c:v>
                  </c:pt>
                  <c:pt idx="5">
                    <c:v> $107.36 </c:v>
                  </c:pt>
                </c:lvl>
                <c:lvl>
                  <c:pt idx="1">
                    <c:v>Payments Per Year</c:v>
                  </c:pt>
                  <c:pt idx="5">
                    <c:v>12</c:v>
                  </c:pt>
                </c:lvl>
                <c:lvl>
                  <c:pt idx="1">
                    <c:v>Length of Mortgage (years)</c:v>
                  </c:pt>
                  <c:pt idx="5">
                    <c:v>30</c:v>
                  </c:pt>
                </c:lvl>
                <c:lvl>
                  <c:pt idx="1">
                    <c:v>Interest Rate</c:v>
                  </c:pt>
                  <c:pt idx="5">
                    <c:v>5%</c:v>
                  </c:pt>
                </c:lvl>
                <c:lvl>
                  <c:pt idx="1">
                    <c:v>Policy  Loan or HECL</c:v>
                  </c:pt>
                  <c:pt idx="5">
                    <c:v> $20,000 </c:v>
                  </c:pt>
                </c:lvl>
                <c:lvl>
                  <c:pt idx="1">
                    <c:v>Payments Per Year</c:v>
                  </c:pt>
                  <c:pt idx="5">
                    <c:v>12</c:v>
                  </c:pt>
                </c:lvl>
                <c:lvl>
                  <c:pt idx="1">
                    <c:v>Length of Mortgage (years)</c:v>
                  </c:pt>
                  <c:pt idx="5">
                    <c:v>30</c:v>
                  </c:pt>
                </c:lvl>
                <c:lvl>
                  <c:pt idx="1">
                    <c:v>Total Cash Invested</c:v>
                  </c:pt>
                  <c:pt idx="5">
                    <c:v>$64,280</c:v>
                  </c:pt>
                </c:lvl>
                <c:lvl>
                  <c:pt idx="1">
                    <c:v>Cost of Repairs (make-ready)</c:v>
                  </c:pt>
                  <c:pt idx="5">
                    <c:v>$0 </c:v>
                  </c:pt>
                </c:lvl>
                <c:lvl>
                  <c:pt idx="1">
                    <c:v>Closing Costs (2%)</c:v>
                  </c:pt>
                  <c:pt idx="2">
                    <c:v>1.5%</c:v>
                  </c:pt>
                  <c:pt idx="5">
                    <c:v>$5,880</c:v>
                  </c:pt>
                </c:lvl>
                <c:lvl>
                  <c:pt idx="1">
                    <c:v>Interest Rate</c:v>
                  </c:pt>
                  <c:pt idx="5">
                    <c:v>7.0%</c:v>
                  </c:pt>
                </c:lvl>
                <c:lvl>
                  <c:pt idx="1">
                    <c:v>Amount Financed</c:v>
                  </c:pt>
                  <c:pt idx="5">
                    <c:v>$313,600 </c:v>
                  </c:pt>
                </c:lvl>
                <c:lvl>
                  <c:pt idx="1">
                    <c:v>Down Payment Amount</c:v>
                  </c:pt>
                  <c:pt idx="5">
                    <c:v>$78,400 </c:v>
                  </c:pt>
                </c:lvl>
                <c:lvl>
                  <c:pt idx="1">
                    <c:v>Percent Down</c:v>
                  </c:pt>
                  <c:pt idx="5">
                    <c:v>20%</c:v>
                  </c:pt>
                </c:lvl>
                <c:lvl>
                  <c:pt idx="1">
                    <c:v>Purchase Price (max offer price)</c:v>
                  </c:pt>
                  <c:pt idx="5">
                    <c:v>$392,000 </c:v>
                  </c:pt>
                </c:lvl>
                <c:lvl>
                  <c:pt idx="1">
                    <c:v>Discount %</c:v>
                  </c:pt>
                  <c:pt idx="5">
                    <c:v>2%</c:v>
                  </c:pt>
                </c:lvl>
                <c:lvl>
                  <c:pt idx="0">
                    <c:v>Purchase Terms</c:v>
                  </c:pt>
                  <c:pt idx="1">
                    <c:v>1. Fair Market Value:</c:v>
                  </c:pt>
                  <c:pt idx="2">
                    <c:v>%</c:v>
                  </c:pt>
                  <c:pt idx="5">
                    <c:v>$400,000 </c:v>
                  </c:pt>
                </c:lvl>
                <c:lvl>
                  <c:pt idx="0">
                    <c:v>Property Address:   Example</c:v>
                  </c:pt>
                  <c:pt idx="5">
                    <c:v>List Price:</c:v>
                  </c:pt>
                  <c:pt idx="6">
                    <c:v>$400,000</c:v>
                  </c:pt>
                </c:lvl>
                <c:lvl>
                  <c:pt idx="0">
                    <c:v>Client Name:</c:v>
                  </c:pt>
                  <c:pt idx="5">
                    <c:v>Prepared By:</c:v>
                  </c:pt>
                  <c:pt idx="6">
                    <c:v>Steve Chader</c:v>
                  </c:pt>
                </c:lvl>
                <c:lvl>
                  <c:pt idx="0">
                    <c:v>Property Analysis Worksheet</c:v>
                  </c:pt>
                </c:lvl>
              </c:multiLvlStrCache>
            </c:multiLvlStrRef>
          </c:cat>
          <c:val>
            <c:numRef>
              <c:f>'Analysis Worksheet'!$A$25:$G$25</c:f>
              <c:numCache>
                <c:formatCode>General</c:formatCode>
                <c:ptCount val="7"/>
                <c:pt idx="1">
                  <c:v>0</c:v>
                </c:pt>
                <c:pt idx="5" formatCode="&quot;$&quot;#,##0_);[Red]\(&quot;$&quot;#,##0\)">
                  <c:v>2193.7529494843466</c:v>
                </c:pt>
                <c:pt idx="6" formatCode="&quot;$&quot;#,##0_);[Red]\(&quot;$&quot;#,##0\)">
                  <c:v>26325.035393812159</c:v>
                </c:pt>
              </c:numCache>
            </c:numRef>
          </c:val>
          <c:extLst>
            <c:ext xmlns:c16="http://schemas.microsoft.com/office/drawing/2014/chart" uri="{C3380CC4-5D6E-409C-BE32-E72D297353CC}">
              <c16:uniqueId val="{00000000-4837-473B-9D89-3D960752A57C}"/>
            </c:ext>
          </c:extLst>
        </c:ser>
        <c:ser>
          <c:idx val="1"/>
          <c:order val="1"/>
          <c:spPr>
            <a:solidFill>
              <a:schemeClr val="accent2"/>
            </a:solidFill>
            <a:ln>
              <a:noFill/>
            </a:ln>
            <a:effectLst/>
          </c:spPr>
          <c:invertIfNegative val="0"/>
          <c:cat>
            <c:multiLvlStrRef>
              <c:f>'Analysis Worksheet'!$A$2:$G$24</c:f>
              <c:multiLvlStrCache>
                <c:ptCount val="7"/>
                <c:lvl>
                  <c:pt idx="5">
                    <c:v>Monthly</c:v>
                  </c:pt>
                  <c:pt idx="6">
                    <c:v> Annual </c:v>
                  </c:pt>
                </c:lvl>
                <c:lvl>
                  <c:pt idx="1">
                    <c:v>Monthly Payment on #2 Loan</c:v>
                  </c:pt>
                  <c:pt idx="5">
                    <c:v> $107.36 </c:v>
                  </c:pt>
                </c:lvl>
                <c:lvl>
                  <c:pt idx="1">
                    <c:v>Payments Per Year</c:v>
                  </c:pt>
                  <c:pt idx="5">
                    <c:v>12</c:v>
                  </c:pt>
                </c:lvl>
                <c:lvl>
                  <c:pt idx="1">
                    <c:v>Length of Mortgage (years)</c:v>
                  </c:pt>
                  <c:pt idx="5">
                    <c:v>30</c:v>
                  </c:pt>
                </c:lvl>
                <c:lvl>
                  <c:pt idx="1">
                    <c:v>Interest Rate</c:v>
                  </c:pt>
                  <c:pt idx="5">
                    <c:v>5%</c:v>
                  </c:pt>
                </c:lvl>
                <c:lvl>
                  <c:pt idx="1">
                    <c:v>Policy  Loan or HECL</c:v>
                  </c:pt>
                  <c:pt idx="5">
                    <c:v> $20,000 </c:v>
                  </c:pt>
                </c:lvl>
                <c:lvl>
                  <c:pt idx="1">
                    <c:v>Payments Per Year</c:v>
                  </c:pt>
                  <c:pt idx="5">
                    <c:v>12</c:v>
                  </c:pt>
                </c:lvl>
                <c:lvl>
                  <c:pt idx="1">
                    <c:v>Length of Mortgage (years)</c:v>
                  </c:pt>
                  <c:pt idx="5">
                    <c:v>30</c:v>
                  </c:pt>
                </c:lvl>
                <c:lvl>
                  <c:pt idx="1">
                    <c:v>Total Cash Invested</c:v>
                  </c:pt>
                  <c:pt idx="5">
                    <c:v>$64,280</c:v>
                  </c:pt>
                </c:lvl>
                <c:lvl>
                  <c:pt idx="1">
                    <c:v>Cost of Repairs (make-ready)</c:v>
                  </c:pt>
                  <c:pt idx="5">
                    <c:v>$0 </c:v>
                  </c:pt>
                </c:lvl>
                <c:lvl>
                  <c:pt idx="1">
                    <c:v>Closing Costs (2%)</c:v>
                  </c:pt>
                  <c:pt idx="2">
                    <c:v>1.5%</c:v>
                  </c:pt>
                  <c:pt idx="5">
                    <c:v>$5,880</c:v>
                  </c:pt>
                </c:lvl>
                <c:lvl>
                  <c:pt idx="1">
                    <c:v>Interest Rate</c:v>
                  </c:pt>
                  <c:pt idx="5">
                    <c:v>7.0%</c:v>
                  </c:pt>
                </c:lvl>
                <c:lvl>
                  <c:pt idx="1">
                    <c:v>Amount Financed</c:v>
                  </c:pt>
                  <c:pt idx="5">
                    <c:v>$313,600 </c:v>
                  </c:pt>
                </c:lvl>
                <c:lvl>
                  <c:pt idx="1">
                    <c:v>Down Payment Amount</c:v>
                  </c:pt>
                  <c:pt idx="5">
                    <c:v>$78,400 </c:v>
                  </c:pt>
                </c:lvl>
                <c:lvl>
                  <c:pt idx="1">
                    <c:v>Percent Down</c:v>
                  </c:pt>
                  <c:pt idx="5">
                    <c:v>20%</c:v>
                  </c:pt>
                </c:lvl>
                <c:lvl>
                  <c:pt idx="1">
                    <c:v>Purchase Price (max offer price)</c:v>
                  </c:pt>
                  <c:pt idx="5">
                    <c:v>$392,000 </c:v>
                  </c:pt>
                </c:lvl>
                <c:lvl>
                  <c:pt idx="1">
                    <c:v>Discount %</c:v>
                  </c:pt>
                  <c:pt idx="5">
                    <c:v>2%</c:v>
                  </c:pt>
                </c:lvl>
                <c:lvl>
                  <c:pt idx="0">
                    <c:v>Purchase Terms</c:v>
                  </c:pt>
                  <c:pt idx="1">
                    <c:v>1. Fair Market Value:</c:v>
                  </c:pt>
                  <c:pt idx="2">
                    <c:v>%</c:v>
                  </c:pt>
                  <c:pt idx="5">
                    <c:v>$400,000 </c:v>
                  </c:pt>
                </c:lvl>
                <c:lvl>
                  <c:pt idx="0">
                    <c:v>Property Address:   Example</c:v>
                  </c:pt>
                  <c:pt idx="5">
                    <c:v>List Price:</c:v>
                  </c:pt>
                  <c:pt idx="6">
                    <c:v>$400,000</c:v>
                  </c:pt>
                </c:lvl>
                <c:lvl>
                  <c:pt idx="0">
                    <c:v>Client Name:</c:v>
                  </c:pt>
                  <c:pt idx="5">
                    <c:v>Prepared By:</c:v>
                  </c:pt>
                  <c:pt idx="6">
                    <c:v>Steve Chader</c:v>
                  </c:pt>
                </c:lvl>
                <c:lvl>
                  <c:pt idx="0">
                    <c:v>Property Analysis Worksheet</c:v>
                  </c:pt>
                </c:lvl>
              </c:multiLvlStrCache>
            </c:multiLvlStrRef>
          </c:cat>
          <c:val>
            <c:numRef>
              <c:f>'Analysis Worksheet'!$A$26:$G$26</c:f>
              <c:numCache>
                <c:formatCode>General</c:formatCode>
                <c:ptCount val="7"/>
              </c:numCache>
            </c:numRef>
          </c:val>
          <c:extLst>
            <c:ext xmlns:c16="http://schemas.microsoft.com/office/drawing/2014/chart" uri="{C3380CC4-5D6E-409C-BE32-E72D297353CC}">
              <c16:uniqueId val="{00000001-4837-473B-9D89-3D960752A57C}"/>
            </c:ext>
          </c:extLst>
        </c:ser>
        <c:dLbls>
          <c:showLegendKey val="0"/>
          <c:showVal val="0"/>
          <c:showCatName val="0"/>
          <c:showSerName val="0"/>
          <c:showPercent val="0"/>
          <c:showBubbleSize val="0"/>
        </c:dLbls>
        <c:gapWidth val="219"/>
        <c:overlap val="-27"/>
        <c:axId val="604684008"/>
        <c:axId val="604682696"/>
      </c:barChart>
      <c:catAx>
        <c:axId val="604684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4682696"/>
        <c:crosses val="autoZero"/>
        <c:auto val="1"/>
        <c:lblAlgn val="ctr"/>
        <c:lblOffset val="100"/>
        <c:noMultiLvlLbl val="0"/>
      </c:catAx>
      <c:valAx>
        <c:axId val="6046826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4684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25F1CE7-912C-466A-A6CC-3DCDD0839B81}">
  <sheetPr/>
  <sheetViews>
    <sheetView zoomScale="114" workbookViewId="0" zoomToFit="1"/>
  </sheetViews>
  <pageMargins left="0.7" right="0.7" top="0.75" bottom="0.75" header="0.3" footer="0.3"/>
  <drawing r:id="rId1"/>
</chartsheet>
</file>

<file path=xl/ctrlProps/ctrlProp1.xml><?xml version="1.0" encoding="utf-8"?>
<formControlPr xmlns="http://schemas.microsoft.com/office/spreadsheetml/2009/9/main" objectType="Scroll" dx="18" fmlaLink="$K$15" horiz="1" max="360" page="12" val="0"/>
</file>

<file path=xl/ctrlProps/ctrlProp2.xml><?xml version="1.0" encoding="utf-8"?>
<formControlPr xmlns="http://schemas.microsoft.com/office/spreadsheetml/2009/9/main" objectType="Scroll" dx="18" fmlaLink="$K$15" horiz="1" max="360" page="12" val="0"/>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0" y="0"/>
    <xdr:ext cx="8661623" cy="6288728"/>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oneCellAnchor>
    <xdr:from>
      <xdr:col>8</xdr:col>
      <xdr:colOff>17319</xdr:colOff>
      <xdr:row>0</xdr:row>
      <xdr:rowOff>103908</xdr:rowOff>
    </xdr:from>
    <xdr:ext cx="4139046" cy="655949"/>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7680614" y="103908"/>
          <a:ext cx="4139046" cy="6559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800"/>
            <a:t>Use the gray shaded cells.</a:t>
          </a:r>
          <a:r>
            <a:rPr lang="en-US" sz="1800" baseline="0"/>
            <a:t> All non shaded cells are protected calculations</a:t>
          </a:r>
          <a:endParaRPr lang="en-US" sz="1800"/>
        </a:p>
      </xdr:txBody>
    </xdr:sp>
    <xdr:clientData/>
  </xdr:oneCellAnchor>
  <xdr:twoCellAnchor editAs="oneCell">
    <xdr:from>
      <xdr:col>1</xdr:col>
      <xdr:colOff>857250</xdr:colOff>
      <xdr:row>76</xdr:row>
      <xdr:rowOff>34636</xdr:rowOff>
    </xdr:from>
    <xdr:to>
      <xdr:col>6</xdr:col>
      <xdr:colOff>868348</xdr:colOff>
      <xdr:row>79</xdr:row>
      <xdr:rowOff>52928</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stretch>
          <a:fillRect/>
        </a:stretch>
      </xdr:blipFill>
      <xdr:spPr>
        <a:xfrm>
          <a:off x="1333500" y="19084636"/>
          <a:ext cx="5068007" cy="771633"/>
        </a:xfrm>
        <a:prstGeom prst="rect">
          <a:avLst/>
        </a:prstGeom>
      </xdr:spPr>
    </xdr:pic>
    <xdr:clientData/>
  </xdr:twoCellAnchor>
  <xdr:twoCellAnchor editAs="oneCell">
    <xdr:from>
      <xdr:col>1</xdr:col>
      <xdr:colOff>199160</xdr:colOff>
      <xdr:row>0</xdr:row>
      <xdr:rowOff>0</xdr:rowOff>
    </xdr:from>
    <xdr:to>
      <xdr:col>6</xdr:col>
      <xdr:colOff>210258</xdr:colOff>
      <xdr:row>0</xdr:row>
      <xdr:rowOff>771633</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stretch>
          <a:fillRect/>
        </a:stretch>
      </xdr:blipFill>
      <xdr:spPr>
        <a:xfrm>
          <a:off x="675410" y="0"/>
          <a:ext cx="5068007" cy="771633"/>
        </a:xfrm>
        <a:prstGeom prst="rect">
          <a:avLst/>
        </a:prstGeom>
      </xdr:spPr>
    </xdr:pic>
    <xdr:clientData/>
  </xdr:twoCellAnchor>
  <xdr:twoCellAnchor>
    <xdr:from>
      <xdr:col>12</xdr:col>
      <xdr:colOff>20782</xdr:colOff>
      <xdr:row>29</xdr:row>
      <xdr:rowOff>62347</xdr:rowOff>
    </xdr:from>
    <xdr:to>
      <xdr:col>13</xdr:col>
      <xdr:colOff>651164</xdr:colOff>
      <xdr:row>30</xdr:row>
      <xdr:rowOff>270165</xdr:rowOff>
    </xdr:to>
    <xdr:sp macro="" textlink="">
      <xdr:nvSpPr>
        <xdr:cNvPr id="3" name="TextBox 2">
          <a:extLst>
            <a:ext uri="{FF2B5EF4-FFF2-40B4-BE49-F238E27FC236}">
              <a16:creationId xmlns:a16="http://schemas.microsoft.com/office/drawing/2014/main" id="{CF44B150-D46B-EFEE-7478-C87953C7F2D1}"/>
            </a:ext>
          </a:extLst>
        </xdr:cNvPr>
        <xdr:cNvSpPr txBox="1"/>
      </xdr:nvSpPr>
      <xdr:spPr>
        <a:xfrm>
          <a:off x="12282055" y="7848602"/>
          <a:ext cx="1524000" cy="4849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This is what you lose if you don't own it</a:t>
          </a:r>
          <a:r>
            <a:rPr lang="en-US"/>
            <a:t> </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29</xdr:row>
          <xdr:rowOff>15240</xdr:rowOff>
        </xdr:from>
        <xdr:to>
          <xdr:col>18</xdr:col>
          <xdr:colOff>0</xdr:colOff>
          <xdr:row>30</xdr:row>
          <xdr:rowOff>60960</xdr:rowOff>
        </xdr:to>
        <xdr:sp macro="" textlink="">
          <xdr:nvSpPr>
            <xdr:cNvPr id="5121" name="Scroll Bar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29</xdr:row>
          <xdr:rowOff>15240</xdr:rowOff>
        </xdr:from>
        <xdr:to>
          <xdr:col>18</xdr:col>
          <xdr:colOff>0</xdr:colOff>
          <xdr:row>30</xdr:row>
          <xdr:rowOff>60960</xdr:rowOff>
        </xdr:to>
        <xdr:sp macro="" textlink="">
          <xdr:nvSpPr>
            <xdr:cNvPr id="9217" name="Scroll Bar 1" hidden="1">
              <a:extLst>
                <a:ext uri="{63B3BB69-23CF-44E3-9099-C40C66FF867C}">
                  <a14:compatExt spid="_x0000_s9217"/>
                </a:ext>
                <a:ext uri="{FF2B5EF4-FFF2-40B4-BE49-F238E27FC236}">
                  <a16:creationId xmlns:a16="http://schemas.microsoft.com/office/drawing/2014/main" id="{00000000-0008-0000-0500-0000012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2.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K79"/>
  <sheetViews>
    <sheetView showGridLines="0" tabSelected="1" topLeftCell="A69" zoomScale="110" zoomScaleNormal="110" workbookViewId="0">
      <selection activeCell="I79" sqref="I79"/>
    </sheetView>
  </sheetViews>
  <sheetFormatPr defaultColWidth="9.21875" defaultRowHeight="19.2"/>
  <cols>
    <col min="1" max="1" width="7.21875" style="1" customWidth="1"/>
    <col min="2" max="2" width="41.77734375" style="1" customWidth="1"/>
    <col min="3" max="3" width="8.77734375" style="1" customWidth="1"/>
    <col min="4" max="4" width="6.77734375" style="1" customWidth="1"/>
    <col min="5" max="5" width="3.77734375" style="1" customWidth="1"/>
    <col min="6" max="6" width="14.77734375" style="1" customWidth="1"/>
    <col min="7" max="7" width="18.21875" style="7" customWidth="1"/>
    <col min="8" max="8" width="13.77734375" style="7" customWidth="1"/>
    <col min="9" max="9" width="20.77734375" style="1" customWidth="1"/>
    <col min="10" max="10" width="21.21875" style="1" customWidth="1"/>
    <col min="11" max="11" width="11.33203125" style="1" customWidth="1"/>
    <col min="12" max="12" width="10.44140625" style="1" customWidth="1"/>
    <col min="13" max="13" width="13" style="1" customWidth="1"/>
    <col min="14" max="14" width="10.44140625" style="1" customWidth="1"/>
    <col min="15" max="16" width="11.44140625" style="1" customWidth="1"/>
    <col min="17" max="17" width="21" style="1" customWidth="1"/>
    <col min="18" max="18" width="19.77734375" style="1" customWidth="1"/>
    <col min="19" max="29" width="11.44140625" style="1" customWidth="1"/>
    <col min="30" max="33" width="11.44140625" style="266" customWidth="1"/>
    <col min="34" max="34" width="15.21875" style="266" customWidth="1"/>
    <col min="35" max="35" width="17.21875" style="266" customWidth="1"/>
    <col min="36" max="268" width="11.44140625" style="1" customWidth="1"/>
    <col min="269" max="16384" width="9.21875" style="1"/>
  </cols>
  <sheetData>
    <row r="1" spans="1:37" ht="63" customHeight="1" thickBot="1"/>
    <row r="2" spans="1:37" ht="36.75" customHeight="1" thickBot="1">
      <c r="A2" s="379" t="s">
        <v>0</v>
      </c>
      <c r="B2" s="380"/>
      <c r="C2" s="380"/>
      <c r="D2" s="380"/>
      <c r="E2" s="380"/>
      <c r="F2" s="380"/>
      <c r="G2" s="381"/>
      <c r="I2" s="53"/>
      <c r="J2" s="53"/>
      <c r="K2" s="53"/>
      <c r="L2" s="53"/>
      <c r="M2" s="53"/>
      <c r="N2" s="53"/>
    </row>
    <row r="3" spans="1:37" ht="19.5" customHeight="1">
      <c r="A3" s="382" t="s">
        <v>1</v>
      </c>
      <c r="B3" s="383"/>
      <c r="C3" s="139"/>
      <c r="D3" s="139"/>
      <c r="E3" s="139"/>
      <c r="F3" s="139" t="s">
        <v>2</v>
      </c>
      <c r="G3" s="255" t="s">
        <v>3</v>
      </c>
      <c r="H3" s="54"/>
      <c r="I3" s="53"/>
      <c r="J3" s="53"/>
      <c r="K3" s="53"/>
      <c r="L3" s="53"/>
      <c r="M3" s="53"/>
      <c r="N3" s="53"/>
    </row>
    <row r="4" spans="1:37" ht="19.5" customHeight="1">
      <c r="A4" s="384" t="s">
        <v>175</v>
      </c>
      <c r="B4" s="385"/>
      <c r="C4" s="140"/>
      <c r="D4" s="140"/>
      <c r="E4" s="140"/>
      <c r="F4" s="130" t="s">
        <v>4</v>
      </c>
      <c r="G4" s="216">
        <v>400000</v>
      </c>
      <c r="H4" s="1"/>
      <c r="L4" s="53"/>
      <c r="M4" s="53"/>
      <c r="N4" s="53"/>
    </row>
    <row r="5" spans="1:37" ht="6.75" customHeight="1" thickBot="1">
      <c r="A5" s="4"/>
      <c r="B5" s="35"/>
      <c r="C5" s="35"/>
      <c r="D5" s="35"/>
      <c r="E5" s="35"/>
      <c r="F5" s="35"/>
      <c r="G5" s="131"/>
      <c r="H5" s="1"/>
      <c r="L5" s="53"/>
      <c r="M5" s="53"/>
      <c r="N5" s="53"/>
    </row>
    <row r="6" spans="1:37" ht="19.5" customHeight="1" thickBot="1">
      <c r="A6" s="376" t="s">
        <v>5</v>
      </c>
      <c r="B6" s="13" t="s">
        <v>6</v>
      </c>
      <c r="C6" s="62" t="s">
        <v>7</v>
      </c>
      <c r="D6" s="10"/>
      <c r="E6" s="10"/>
      <c r="F6" s="224">
        <v>400000</v>
      </c>
      <c r="G6" s="132"/>
    </row>
    <row r="7" spans="1:37" ht="19.5" customHeight="1">
      <c r="A7" s="377"/>
      <c r="B7" s="14" t="s">
        <v>8</v>
      </c>
      <c r="C7" s="63"/>
      <c r="D7" s="6"/>
      <c r="E7" s="6"/>
      <c r="F7" s="225">
        <v>0.02</v>
      </c>
      <c r="G7" s="16"/>
      <c r="N7" s="350"/>
      <c r="O7" s="351"/>
      <c r="R7" s="53"/>
      <c r="S7" s="53"/>
    </row>
    <row r="8" spans="1:37" ht="21.75" customHeight="1">
      <c r="A8" s="377"/>
      <c r="B8" s="15" t="s">
        <v>9</v>
      </c>
      <c r="C8" s="28"/>
      <c r="F8" s="223">
        <f>(1-F7)*F6</f>
        <v>392000</v>
      </c>
      <c r="G8" s="17"/>
      <c r="H8" s="54"/>
      <c r="N8" s="352"/>
      <c r="O8" s="351"/>
      <c r="P8" s="353"/>
      <c r="Q8" s="354"/>
      <c r="R8" s="355"/>
      <c r="S8" s="356"/>
      <c r="AD8" s="267" t="s">
        <v>9</v>
      </c>
      <c r="AE8" s="268"/>
      <c r="AH8" s="269">
        <f>F8</f>
        <v>392000</v>
      </c>
      <c r="AI8" s="270"/>
    </row>
    <row r="9" spans="1:37" ht="19.5" customHeight="1">
      <c r="A9" s="377"/>
      <c r="B9" s="15" t="s">
        <v>10</v>
      </c>
      <c r="C9" s="28"/>
      <c r="F9" s="226">
        <v>0.2</v>
      </c>
      <c r="G9" s="17"/>
      <c r="H9" s="54"/>
      <c r="N9" s="350"/>
      <c r="O9" s="351"/>
      <c r="P9" s="61"/>
      <c r="AD9" s="267" t="s">
        <v>10</v>
      </c>
      <c r="AE9" s="268"/>
      <c r="AH9" s="271">
        <v>0.2</v>
      </c>
      <c r="AI9" s="270"/>
    </row>
    <row r="10" spans="1:37" ht="21.75" customHeight="1">
      <c r="A10" s="377"/>
      <c r="B10" s="15" t="s">
        <v>11</v>
      </c>
      <c r="C10" s="28"/>
      <c r="F10" s="223">
        <f>F8*F9</f>
        <v>78400</v>
      </c>
      <c r="G10" s="17"/>
      <c r="N10" s="350"/>
      <c r="O10" s="357"/>
      <c r="AD10" s="267" t="s">
        <v>11</v>
      </c>
      <c r="AE10" s="268"/>
      <c r="AH10" s="272">
        <f>AH8*AH9</f>
        <v>78400</v>
      </c>
      <c r="AI10" s="270"/>
      <c r="AK10" s="1" t="s">
        <v>163</v>
      </c>
    </row>
    <row r="11" spans="1:37" ht="21.75" customHeight="1">
      <c r="A11" s="377"/>
      <c r="B11" s="15" t="s">
        <v>12</v>
      </c>
      <c r="C11" s="28"/>
      <c r="F11" s="223">
        <f>F8-F10</f>
        <v>313600</v>
      </c>
      <c r="G11" s="17"/>
      <c r="N11" s="350"/>
      <c r="O11" s="254"/>
      <c r="P11" s="265"/>
      <c r="Q11" s="358"/>
      <c r="R11" s="266"/>
      <c r="AD11" s="267" t="s">
        <v>12</v>
      </c>
      <c r="AE11" s="268"/>
      <c r="AH11" s="272">
        <f>AH8-AH10</f>
        <v>313600</v>
      </c>
      <c r="AI11" s="270"/>
      <c r="AK11" s="1" t="s">
        <v>164</v>
      </c>
    </row>
    <row r="12" spans="1:37" ht="21.75" customHeight="1">
      <c r="A12" s="377"/>
      <c r="B12" s="15" t="s">
        <v>13</v>
      </c>
      <c r="C12" s="28"/>
      <c r="F12" s="227">
        <v>7.0000000000000007E-2</v>
      </c>
      <c r="G12" s="17"/>
      <c r="AD12" s="267" t="s">
        <v>13</v>
      </c>
      <c r="AE12" s="268"/>
      <c r="AH12" s="273">
        <f>F12</f>
        <v>7.0000000000000007E-2</v>
      </c>
      <c r="AI12" s="270"/>
    </row>
    <row r="13" spans="1:37" ht="21.75" customHeight="1">
      <c r="A13" s="377"/>
      <c r="B13" s="15" t="s">
        <v>14</v>
      </c>
      <c r="C13" s="215">
        <v>1.4999999999999999E-2</v>
      </c>
      <c r="F13" s="228">
        <f>C13*F8</f>
        <v>5880</v>
      </c>
      <c r="G13" s="17"/>
      <c r="N13" s="350"/>
      <c r="O13" s="254"/>
      <c r="P13" s="359"/>
      <c r="Q13" s="350"/>
      <c r="AD13" s="267" t="s">
        <v>14</v>
      </c>
      <c r="AE13" s="274">
        <v>0.01</v>
      </c>
      <c r="AH13" s="275">
        <f>F13</f>
        <v>5880</v>
      </c>
      <c r="AI13" s="270"/>
    </row>
    <row r="14" spans="1:37" ht="21.75" customHeight="1">
      <c r="A14" s="377"/>
      <c r="B14" s="15" t="s">
        <v>15</v>
      </c>
      <c r="C14" s="28"/>
      <c r="F14" s="229">
        <v>0</v>
      </c>
      <c r="G14" s="17"/>
      <c r="N14" s="356"/>
      <c r="O14" s="254"/>
      <c r="P14" s="360"/>
      <c r="R14" s="360"/>
      <c r="S14" s="361"/>
      <c r="AC14" s="333"/>
      <c r="AD14" s="267" t="s">
        <v>15</v>
      </c>
      <c r="AE14" s="268"/>
      <c r="AH14" s="276">
        <f>F14</f>
        <v>0</v>
      </c>
      <c r="AI14" s="270"/>
    </row>
    <row r="15" spans="1:37" ht="21.75" customHeight="1">
      <c r="A15" s="377"/>
      <c r="B15" s="15" t="s">
        <v>16</v>
      </c>
      <c r="C15" s="28"/>
      <c r="F15" s="230">
        <f>F14+F13+F10-F18</f>
        <v>64280</v>
      </c>
      <c r="G15" s="17"/>
      <c r="R15" s="254"/>
      <c r="AC15" s="333"/>
      <c r="AD15" s="267" t="s">
        <v>16</v>
      </c>
      <c r="AE15" s="268"/>
      <c r="AH15" s="277">
        <f>AH14+AH13+AH10</f>
        <v>84280</v>
      </c>
      <c r="AI15" s="270"/>
    </row>
    <row r="16" spans="1:37" ht="21.75" customHeight="1">
      <c r="A16" s="377"/>
      <c r="B16" s="15" t="s">
        <v>17</v>
      </c>
      <c r="C16" s="28"/>
      <c r="F16" s="231">
        <v>30</v>
      </c>
      <c r="G16" s="17"/>
      <c r="N16" s="360"/>
      <c r="O16" s="254"/>
      <c r="R16" s="254"/>
      <c r="AC16" s="333"/>
      <c r="AD16" s="267" t="s">
        <v>17</v>
      </c>
      <c r="AE16" s="268"/>
      <c r="AH16" s="278">
        <v>30</v>
      </c>
      <c r="AI16" s="270"/>
    </row>
    <row r="17" spans="1:35" ht="19.5" customHeight="1">
      <c r="A17" s="377"/>
      <c r="B17" s="15" t="s">
        <v>18</v>
      </c>
      <c r="C17" s="28"/>
      <c r="F17" s="232">
        <v>12</v>
      </c>
      <c r="G17" s="17"/>
      <c r="R17" s="334"/>
      <c r="AC17" s="333"/>
      <c r="AD17" s="267" t="s">
        <v>18</v>
      </c>
      <c r="AE17" s="268"/>
      <c r="AH17" s="279">
        <v>12</v>
      </c>
      <c r="AI17" s="270"/>
    </row>
    <row r="18" spans="1:35" ht="19.5" customHeight="1">
      <c r="A18" s="377"/>
      <c r="B18" s="331" t="s">
        <v>166</v>
      </c>
      <c r="C18" s="332"/>
      <c r="D18" s="264"/>
      <c r="F18" s="362">
        <v>20000</v>
      </c>
      <c r="G18" s="17"/>
      <c r="M18" s="334"/>
      <c r="R18" s="334"/>
      <c r="AC18" s="333"/>
      <c r="AD18" s="267" t="str">
        <f>B18</f>
        <v>Policy  Loan or HECL</v>
      </c>
      <c r="AE18" s="268"/>
      <c r="AH18" s="281"/>
      <c r="AI18" s="270"/>
    </row>
    <row r="19" spans="1:35" ht="19.5" customHeight="1">
      <c r="A19" s="377"/>
      <c r="B19" s="331" t="s">
        <v>13</v>
      </c>
      <c r="C19" s="332"/>
      <c r="D19" s="264"/>
      <c r="F19" s="330">
        <v>0.05</v>
      </c>
      <c r="G19" s="338"/>
      <c r="M19" s="334"/>
      <c r="AD19" s="267" t="str">
        <f t="shared" ref="AD19:AD23" si="0">B19</f>
        <v>Interest Rate</v>
      </c>
      <c r="AE19" s="268"/>
      <c r="AH19" s="281"/>
      <c r="AI19" s="270"/>
    </row>
    <row r="20" spans="1:35" ht="19.5" customHeight="1">
      <c r="A20" s="377"/>
      <c r="B20" s="331" t="s">
        <v>17</v>
      </c>
      <c r="C20" s="332"/>
      <c r="D20" s="264"/>
      <c r="F20" s="329">
        <v>30</v>
      </c>
      <c r="G20" s="17"/>
      <c r="M20" s="334"/>
      <c r="AD20" s="267" t="str">
        <f t="shared" si="0"/>
        <v>Length of Mortgage (years)</v>
      </c>
      <c r="AE20" s="268"/>
      <c r="AH20" s="281"/>
      <c r="AI20" s="270"/>
    </row>
    <row r="21" spans="1:35" ht="19.5" customHeight="1">
      <c r="A21" s="377"/>
      <c r="B21" s="331" t="s">
        <v>18</v>
      </c>
      <c r="C21" s="332"/>
      <c r="D21" s="264"/>
      <c r="F21" s="329">
        <v>12</v>
      </c>
      <c r="G21" s="17"/>
      <c r="J21" s="264" t="s">
        <v>171</v>
      </c>
      <c r="K21" s="264"/>
      <c r="L21" s="264"/>
      <c r="M21" s="363"/>
      <c r="N21" s="264"/>
      <c r="O21" s="333"/>
      <c r="P21" s="333"/>
      <c r="Q21" s="333"/>
      <c r="R21" s="333"/>
      <c r="S21" s="333"/>
      <c r="T21" s="333"/>
      <c r="U21" s="333"/>
      <c r="AD21" s="267" t="str">
        <f t="shared" si="0"/>
        <v>Payments Per Year</v>
      </c>
      <c r="AE21" s="268"/>
      <c r="AH21" s="281"/>
      <c r="AI21" s="270"/>
    </row>
    <row r="22" spans="1:35" ht="19.5" customHeight="1">
      <c r="A22" s="377"/>
      <c r="B22" s="264" t="s">
        <v>156</v>
      </c>
      <c r="C22" s="332"/>
      <c r="D22" s="264"/>
      <c r="F22" s="337">
        <f>IF(E20="yes",'Loan Amortization 2nd Loan'!H3,'Loan Amortization 2nd Loan'!B6)</f>
        <v>107.36432460242781</v>
      </c>
      <c r="G22" s="17"/>
      <c r="J22" s="364" t="s">
        <v>168</v>
      </c>
      <c r="K22" s="364" t="s">
        <v>19</v>
      </c>
      <c r="L22" s="364" t="s">
        <v>20</v>
      </c>
      <c r="M22" s="363"/>
      <c r="N22" s="264"/>
      <c r="O22" s="333"/>
      <c r="P22" s="333"/>
      <c r="Q22" s="333"/>
      <c r="R22" s="333"/>
      <c r="S22" s="333"/>
      <c r="T22" s="333"/>
      <c r="U22" s="333"/>
      <c r="AD22" s="267" t="str">
        <f t="shared" si="0"/>
        <v>Monthly Payment on #2 Loan</v>
      </c>
      <c r="AE22" s="268"/>
      <c r="AH22" s="281"/>
      <c r="AI22" s="270"/>
    </row>
    <row r="23" spans="1:35" ht="6.75" customHeight="1">
      <c r="A23" s="377"/>
      <c r="B23" s="15"/>
      <c r="C23" s="58"/>
      <c r="F23" s="12"/>
      <c r="G23" s="17"/>
      <c r="J23" s="264"/>
      <c r="K23" s="264"/>
      <c r="L23" s="264"/>
      <c r="M23" s="264"/>
      <c r="N23" s="264"/>
      <c r="O23" s="333"/>
      <c r="P23" s="333"/>
      <c r="Q23" s="333"/>
      <c r="R23" s="333"/>
      <c r="S23" s="333"/>
      <c r="T23" s="333"/>
      <c r="U23" s="333"/>
      <c r="AD23" s="267">
        <f t="shared" si="0"/>
        <v>0</v>
      </c>
      <c r="AE23" s="280"/>
      <c r="AH23" s="281"/>
      <c r="AI23" s="270"/>
    </row>
    <row r="24" spans="1:35" ht="21.75" customHeight="1">
      <c r="A24" s="377"/>
      <c r="B24" s="15"/>
      <c r="C24" s="58"/>
      <c r="F24" s="12" t="s">
        <v>19</v>
      </c>
      <c r="G24" s="17" t="s">
        <v>20</v>
      </c>
      <c r="J24" s="365" t="s">
        <v>160</v>
      </c>
      <c r="K24" s="366">
        <f>F59</f>
        <v>-596.41961615101309</v>
      </c>
      <c r="L24" s="366">
        <f>K24*12</f>
        <v>-7157.0353938121571</v>
      </c>
      <c r="M24" s="264"/>
      <c r="N24" s="264"/>
      <c r="O24" s="333"/>
      <c r="P24" s="333"/>
      <c r="Q24" s="333"/>
      <c r="R24" s="333"/>
      <c r="S24" s="333"/>
      <c r="T24" s="333"/>
      <c r="U24" s="333"/>
      <c r="AD24" s="267"/>
      <c r="AE24" s="280"/>
      <c r="AH24" s="281" t="s">
        <v>19</v>
      </c>
      <c r="AI24" s="270" t="s">
        <v>20</v>
      </c>
    </row>
    <row r="25" spans="1:35" ht="21.75" customHeight="1">
      <c r="A25" s="377"/>
      <c r="B25" s="25" t="s">
        <v>21</v>
      </c>
      <c r="C25" s="59"/>
      <c r="D25" s="26"/>
      <c r="E25" s="26"/>
      <c r="F25" s="256">
        <f>PMT(F12/F17,F16*F17,F11*-1)+F22</f>
        <v>2193.7529494843466</v>
      </c>
      <c r="G25" s="257">
        <f>F25*12</f>
        <v>26325.035393812159</v>
      </c>
      <c r="J25" s="264" t="s">
        <v>169</v>
      </c>
      <c r="K25" s="366">
        <f>L25/12</f>
        <v>290.05439114856017</v>
      </c>
      <c r="L25" s="366">
        <f>'ROI Analysis'!I4</f>
        <v>3480.6526937827221</v>
      </c>
      <c r="M25" s="264"/>
      <c r="N25" s="264"/>
      <c r="AD25" s="282" t="s">
        <v>21</v>
      </c>
      <c r="AE25" s="283"/>
      <c r="AF25" s="284"/>
      <c r="AG25" s="284"/>
      <c r="AH25" s="285">
        <f>PMT(AH12/AH17,AH16*AH17,AH11*-1)</f>
        <v>2086.3886248819185</v>
      </c>
      <c r="AI25" s="286">
        <f>AH25*12</f>
        <v>25036.663498583024</v>
      </c>
    </row>
    <row r="26" spans="1:35" ht="6.75" customHeight="1" thickBot="1">
      <c r="A26" s="378"/>
      <c r="B26" s="4"/>
      <c r="C26" s="5"/>
      <c r="D26" s="5"/>
      <c r="E26" s="5"/>
      <c r="F26" s="5"/>
      <c r="G26" s="18"/>
      <c r="J26" s="264"/>
      <c r="K26" s="366"/>
      <c r="L26" s="366"/>
      <c r="M26" s="264"/>
      <c r="N26" s="264"/>
      <c r="AD26" s="287"/>
      <c r="AE26" s="288"/>
      <c r="AF26" s="288"/>
      <c r="AG26" s="288"/>
      <c r="AH26" s="288"/>
      <c r="AI26" s="289"/>
    </row>
    <row r="27" spans="1:35" ht="21.75" customHeight="1" thickBot="1">
      <c r="A27" s="373" t="s">
        <v>22</v>
      </c>
      <c r="B27" s="19" t="s">
        <v>23</v>
      </c>
      <c r="C27" s="60" t="s">
        <v>7</v>
      </c>
      <c r="D27" s="8"/>
      <c r="E27" s="8"/>
      <c r="F27" s="8" t="s">
        <v>19</v>
      </c>
      <c r="G27" s="344" t="s">
        <v>20</v>
      </c>
      <c r="I27" s="61"/>
      <c r="J27" s="264" t="s">
        <v>172</v>
      </c>
      <c r="K27" s="367">
        <f>L27/12</f>
        <v>190.06060606060609</v>
      </c>
      <c r="L27" s="367">
        <f>F8*0.8/27.5*0.2</f>
        <v>2280.727272727273</v>
      </c>
      <c r="M27" s="264"/>
      <c r="N27" s="264"/>
      <c r="AD27" s="290" t="s">
        <v>23</v>
      </c>
      <c r="AE27" s="291" t="s">
        <v>7</v>
      </c>
      <c r="AF27" s="292"/>
      <c r="AG27" s="292"/>
      <c r="AH27" s="292" t="s">
        <v>19</v>
      </c>
      <c r="AI27" s="293" t="s">
        <v>20</v>
      </c>
    </row>
    <row r="28" spans="1:35" ht="21.75" customHeight="1">
      <c r="A28" s="374"/>
      <c r="B28" s="2" t="s">
        <v>24</v>
      </c>
      <c r="C28" s="61"/>
      <c r="E28" s="1" t="s">
        <v>25</v>
      </c>
      <c r="F28" s="349">
        <v>2300</v>
      </c>
      <c r="G28" s="345">
        <f>F28*12</f>
        <v>27600</v>
      </c>
      <c r="H28" s="340"/>
      <c r="I28" s="341"/>
      <c r="J28" s="264" t="s">
        <v>173</v>
      </c>
      <c r="K28" s="366">
        <f>SUM(K24:K27)</f>
        <v>-116.30461894184683</v>
      </c>
      <c r="L28" s="366">
        <f>SUM(L24:L27)</f>
        <v>-1395.655427302162</v>
      </c>
      <c r="M28" s="264"/>
      <c r="N28" s="264"/>
      <c r="AD28" s="294" t="s">
        <v>24</v>
      </c>
      <c r="AE28" s="295"/>
      <c r="AG28" s="266" t="s">
        <v>25</v>
      </c>
      <c r="AH28" s="296">
        <f>F28</f>
        <v>2300</v>
      </c>
      <c r="AI28" s="297">
        <f>AH28*12</f>
        <v>27600</v>
      </c>
    </row>
    <row r="29" spans="1:35" ht="21.75" customHeight="1">
      <c r="A29" s="374"/>
      <c r="B29" s="2" t="s">
        <v>26</v>
      </c>
      <c r="C29" s="61"/>
      <c r="E29" s="1" t="s">
        <v>25</v>
      </c>
      <c r="F29" s="346">
        <v>0</v>
      </c>
      <c r="G29" s="348">
        <f>F29*12</f>
        <v>0</v>
      </c>
      <c r="H29" s="340"/>
      <c r="I29" s="342"/>
      <c r="J29" s="264" t="s">
        <v>170</v>
      </c>
      <c r="K29" s="366">
        <f>L29/12</f>
        <v>1333.3333333333333</v>
      </c>
      <c r="L29" s="366">
        <f>'ROI Analysis'!N4</f>
        <v>16000</v>
      </c>
      <c r="M29" s="368">
        <v>0.04</v>
      </c>
      <c r="N29" s="264"/>
      <c r="AD29" s="294" t="s">
        <v>26</v>
      </c>
      <c r="AE29" s="295"/>
      <c r="AG29" s="266" t="s">
        <v>25</v>
      </c>
      <c r="AH29" s="298">
        <f>F29</f>
        <v>0</v>
      </c>
      <c r="AI29" s="297">
        <f>AH29*12</f>
        <v>0</v>
      </c>
    </row>
    <row r="30" spans="1:35" ht="21.75" customHeight="1">
      <c r="A30" s="374"/>
      <c r="B30" s="2" t="s">
        <v>27</v>
      </c>
      <c r="C30" s="61"/>
      <c r="E30" s="1" t="s">
        <v>25</v>
      </c>
      <c r="F30" s="346"/>
      <c r="G30" s="347"/>
      <c r="H30" s="340"/>
      <c r="I30" s="343"/>
      <c r="J30" s="264" t="s">
        <v>174</v>
      </c>
      <c r="K30" s="366">
        <f>K28+K29</f>
        <v>1217.0287143914863</v>
      </c>
      <c r="L30" s="366">
        <f>L28+L29</f>
        <v>14604.344572697839</v>
      </c>
      <c r="M30" s="264"/>
      <c r="N30" s="264"/>
      <c r="AD30" s="294" t="s">
        <v>27</v>
      </c>
      <c r="AE30" s="295"/>
      <c r="AG30" s="266" t="s">
        <v>25</v>
      </c>
      <c r="AH30" s="298">
        <f>F30</f>
        <v>0</v>
      </c>
      <c r="AI30" s="299"/>
    </row>
    <row r="31" spans="1:35" ht="21.75" customHeight="1" thickBot="1">
      <c r="A31" s="374"/>
      <c r="B31" s="2" t="s">
        <v>28</v>
      </c>
      <c r="C31" s="61"/>
      <c r="D31" s="21"/>
      <c r="E31" s="21" t="s">
        <v>25</v>
      </c>
      <c r="F31" s="221"/>
      <c r="G31" s="222"/>
      <c r="I31" s="369" t="s">
        <v>29</v>
      </c>
      <c r="J31" s="264"/>
      <c r="K31" s="264"/>
      <c r="L31" s="264"/>
      <c r="M31" s="264"/>
      <c r="N31" s="264"/>
      <c r="AD31" s="294" t="s">
        <v>28</v>
      </c>
      <c r="AE31" s="295"/>
      <c r="AF31" s="300"/>
      <c r="AG31" s="300" t="s">
        <v>25</v>
      </c>
      <c r="AH31" s="298">
        <f>F31</f>
        <v>0</v>
      </c>
      <c r="AI31" s="301"/>
    </row>
    <row r="32" spans="1:35" ht="6.75" customHeight="1" thickTop="1">
      <c r="A32" s="374"/>
      <c r="B32" s="2"/>
      <c r="C32" s="61"/>
      <c r="F32" s="22"/>
      <c r="G32" s="23"/>
      <c r="I32" s="369"/>
      <c r="AD32" s="294"/>
      <c r="AE32" s="295"/>
      <c r="AH32" s="265"/>
      <c r="AI32" s="299"/>
    </row>
    <row r="33" spans="1:35" ht="21.75" customHeight="1">
      <c r="A33" s="374"/>
      <c r="B33" s="2" t="s">
        <v>30</v>
      </c>
      <c r="C33" s="61"/>
      <c r="E33" s="1" t="s">
        <v>31</v>
      </c>
      <c r="F33" s="218">
        <f>F31+F30+F29+F28</f>
        <v>2300</v>
      </c>
      <c r="G33" s="233">
        <f>SUM(G28:G31)</f>
        <v>27600</v>
      </c>
      <c r="I33" s="369"/>
      <c r="AD33" s="294" t="s">
        <v>30</v>
      </c>
      <c r="AE33" s="295"/>
      <c r="AG33" s="266" t="s">
        <v>31</v>
      </c>
      <c r="AH33" s="302">
        <f>AH31+AH30+AH29+AH28</f>
        <v>2300</v>
      </c>
      <c r="AI33" s="297">
        <f>SUM(AI28:AI31)</f>
        <v>27600</v>
      </c>
    </row>
    <row r="34" spans="1:35" ht="21.75" customHeight="1" thickBot="1">
      <c r="A34" s="374"/>
      <c r="B34" s="2" t="s">
        <v>32</v>
      </c>
      <c r="C34" s="217">
        <v>0</v>
      </c>
      <c r="D34" s="26"/>
      <c r="E34" s="21" t="s">
        <v>33</v>
      </c>
      <c r="F34" s="235">
        <f>G34/12</f>
        <v>0</v>
      </c>
      <c r="G34" s="234">
        <f>G33*C34</f>
        <v>0</v>
      </c>
      <c r="I34" s="369"/>
      <c r="AD34" s="294" t="s">
        <v>32</v>
      </c>
      <c r="AE34" s="303">
        <f>C34</f>
        <v>0</v>
      </c>
      <c r="AF34" s="284"/>
      <c r="AG34" s="300" t="s">
        <v>33</v>
      </c>
      <c r="AH34" s="304">
        <f>AI34/12</f>
        <v>0</v>
      </c>
      <c r="AI34" s="305">
        <f>AI33*AE34</f>
        <v>0</v>
      </c>
    </row>
    <row r="35" spans="1:35" ht="21.75" customHeight="1" thickTop="1">
      <c r="A35" s="374"/>
      <c r="B35" s="27" t="s">
        <v>34</v>
      </c>
      <c r="C35" s="141"/>
      <c r="D35" s="26"/>
      <c r="E35" s="1" t="s">
        <v>31</v>
      </c>
      <c r="F35" s="236">
        <f>F33-F34</f>
        <v>2300</v>
      </c>
      <c r="G35" s="236">
        <f>G33-G34</f>
        <v>27600</v>
      </c>
      <c r="I35" s="369"/>
      <c r="AD35" s="306" t="s">
        <v>34</v>
      </c>
      <c r="AE35" s="307"/>
      <c r="AF35" s="284"/>
      <c r="AG35" s="266" t="s">
        <v>31</v>
      </c>
      <c r="AH35" s="308">
        <f>AH33-AH34</f>
        <v>2300</v>
      </c>
      <c r="AI35" s="308">
        <f>AI33-AI34</f>
        <v>27600</v>
      </c>
    </row>
    <row r="36" spans="1:35" ht="6.75" customHeight="1" thickBot="1">
      <c r="A36" s="374"/>
      <c r="B36" s="4"/>
      <c r="C36" s="5"/>
      <c r="D36" s="5"/>
      <c r="E36" s="5"/>
      <c r="F36" s="5"/>
      <c r="G36" s="18"/>
      <c r="I36" s="369"/>
      <c r="AD36" s="287"/>
      <c r="AE36" s="288"/>
      <c r="AF36" s="288"/>
      <c r="AG36" s="288"/>
      <c r="AH36" s="288"/>
      <c r="AI36" s="289"/>
    </row>
    <row r="37" spans="1:35" ht="21.75" customHeight="1" thickBot="1">
      <c r="A37" s="374"/>
      <c r="B37" s="19" t="s">
        <v>35</v>
      </c>
      <c r="C37" s="60" t="s">
        <v>7</v>
      </c>
      <c r="D37" s="8"/>
      <c r="E37" s="8"/>
      <c r="F37" s="8" t="s">
        <v>19</v>
      </c>
      <c r="G37" s="20" t="s">
        <v>20</v>
      </c>
      <c r="I37" s="369"/>
      <c r="AD37" s="290" t="s">
        <v>35</v>
      </c>
      <c r="AE37" s="291" t="s">
        <v>7</v>
      </c>
      <c r="AF37" s="292"/>
      <c r="AG37" s="292"/>
      <c r="AH37" s="292" t="s">
        <v>19</v>
      </c>
      <c r="AI37" s="293" t="s">
        <v>20</v>
      </c>
    </row>
    <row r="38" spans="1:35" ht="21.75" customHeight="1">
      <c r="A38" s="374"/>
      <c r="B38" s="2" t="s">
        <v>36</v>
      </c>
      <c r="C38" s="215">
        <v>0.08</v>
      </c>
      <c r="E38" s="1" t="s">
        <v>25</v>
      </c>
      <c r="F38" s="220">
        <f>C38*F33</f>
        <v>184</v>
      </c>
      <c r="G38" s="237">
        <f>F38*12</f>
        <v>2208</v>
      </c>
      <c r="I38" s="369"/>
      <c r="AD38" s="294" t="s">
        <v>36</v>
      </c>
      <c r="AE38" s="274">
        <v>0.08</v>
      </c>
      <c r="AG38" s="266" t="s">
        <v>25</v>
      </c>
      <c r="AH38" s="309">
        <f t="shared" ref="AH38:AI44" si="1">F38</f>
        <v>184</v>
      </c>
      <c r="AI38" s="299">
        <f t="shared" si="1"/>
        <v>2208</v>
      </c>
    </row>
    <row r="39" spans="1:35" ht="21.75" customHeight="1">
      <c r="A39" s="374"/>
      <c r="B39" s="2" t="s">
        <v>167</v>
      </c>
      <c r="C39" s="258">
        <v>0.02</v>
      </c>
      <c r="E39" s="1" t="s">
        <v>25</v>
      </c>
      <c r="F39" s="220">
        <f>F33*C39</f>
        <v>46</v>
      </c>
      <c r="G39" s="237">
        <f>F39*12</f>
        <v>552</v>
      </c>
      <c r="I39" s="369"/>
      <c r="AD39" s="294" t="s">
        <v>37</v>
      </c>
      <c r="AE39" s="310"/>
      <c r="AG39" s="266" t="s">
        <v>25</v>
      </c>
      <c r="AH39" s="309">
        <f t="shared" si="1"/>
        <v>46</v>
      </c>
      <c r="AI39" s="299">
        <f t="shared" si="1"/>
        <v>552</v>
      </c>
    </row>
    <row r="40" spans="1:35" ht="21.75" customHeight="1">
      <c r="A40" s="374"/>
      <c r="B40" s="2" t="s">
        <v>38</v>
      </c>
      <c r="C40" s="215">
        <v>0.02</v>
      </c>
      <c r="E40" s="1" t="s">
        <v>25</v>
      </c>
      <c r="F40" s="220">
        <f>C40*F33</f>
        <v>46</v>
      </c>
      <c r="G40" s="237">
        <f>G35*C40</f>
        <v>552</v>
      </c>
      <c r="I40" s="369"/>
      <c r="AD40" s="294" t="s">
        <v>38</v>
      </c>
      <c r="AE40" s="274">
        <v>0.03</v>
      </c>
      <c r="AG40" s="266" t="s">
        <v>25</v>
      </c>
      <c r="AH40" s="309">
        <f t="shared" si="1"/>
        <v>46</v>
      </c>
      <c r="AI40" s="299">
        <f t="shared" si="1"/>
        <v>552</v>
      </c>
    </row>
    <row r="41" spans="1:35" ht="21.75" customHeight="1">
      <c r="A41" s="374"/>
      <c r="B41" s="2" t="s">
        <v>39</v>
      </c>
      <c r="C41" s="24"/>
      <c r="E41" s="1" t="s">
        <v>25</v>
      </c>
      <c r="F41" s="219">
        <v>10</v>
      </c>
      <c r="G41" s="237">
        <f>F41*12</f>
        <v>120</v>
      </c>
      <c r="I41" s="369"/>
      <c r="AD41" s="294" t="s">
        <v>39</v>
      </c>
      <c r="AE41" s="310"/>
      <c r="AG41" s="266" t="s">
        <v>25</v>
      </c>
      <c r="AH41" s="309">
        <f t="shared" si="1"/>
        <v>10</v>
      </c>
      <c r="AI41" s="299">
        <f t="shared" si="1"/>
        <v>120</v>
      </c>
    </row>
    <row r="42" spans="1:35" ht="21.75" customHeight="1">
      <c r="A42" s="374"/>
      <c r="B42" s="2" t="s">
        <v>40</v>
      </c>
      <c r="C42" s="24"/>
      <c r="E42" s="1" t="s">
        <v>25</v>
      </c>
      <c r="F42" s="220">
        <f>G42/12</f>
        <v>166.66666666666666</v>
      </c>
      <c r="G42" s="238">
        <v>2000</v>
      </c>
      <c r="H42" s="22"/>
      <c r="I42" s="369"/>
      <c r="AD42" s="294" t="s">
        <v>40</v>
      </c>
      <c r="AE42" s="310"/>
      <c r="AG42" s="266" t="s">
        <v>25</v>
      </c>
      <c r="AH42" s="309">
        <f t="shared" si="1"/>
        <v>166.66666666666666</v>
      </c>
      <c r="AI42" s="299">
        <f t="shared" si="1"/>
        <v>2000</v>
      </c>
    </row>
    <row r="43" spans="1:35" ht="21.75" customHeight="1">
      <c r="A43" s="374"/>
      <c r="B43" s="2" t="s">
        <v>41</v>
      </c>
      <c r="C43" s="24"/>
      <c r="E43" s="1" t="s">
        <v>25</v>
      </c>
      <c r="F43" s="220">
        <f>G43/12</f>
        <v>100</v>
      </c>
      <c r="G43" s="238">
        <v>1200</v>
      </c>
      <c r="H43" s="22"/>
      <c r="I43" s="369"/>
      <c r="L43" s="37"/>
      <c r="AD43" s="294" t="s">
        <v>41</v>
      </c>
      <c r="AE43" s="310"/>
      <c r="AG43" s="266" t="s">
        <v>25</v>
      </c>
      <c r="AH43" s="309">
        <f t="shared" si="1"/>
        <v>100</v>
      </c>
      <c r="AI43" s="299">
        <f t="shared" si="1"/>
        <v>1200</v>
      </c>
    </row>
    <row r="44" spans="1:35" ht="21.75" customHeight="1" thickBot="1">
      <c r="A44" s="374"/>
      <c r="B44" s="2" t="s">
        <v>42</v>
      </c>
      <c r="C44" s="24"/>
      <c r="E44" s="1" t="s">
        <v>25</v>
      </c>
      <c r="F44" s="219">
        <v>150</v>
      </c>
      <c r="G44" s="262">
        <f>F44*12</f>
        <v>1800</v>
      </c>
      <c r="H44" s="22"/>
      <c r="I44" s="369"/>
      <c r="AD44" s="294" t="s">
        <v>42</v>
      </c>
      <c r="AE44" s="310"/>
      <c r="AG44" s="300" t="s">
        <v>25</v>
      </c>
      <c r="AH44" s="309">
        <f t="shared" si="1"/>
        <v>150</v>
      </c>
      <c r="AI44" s="299">
        <f t="shared" si="1"/>
        <v>1800</v>
      </c>
    </row>
    <row r="45" spans="1:35" ht="21.75" customHeight="1" thickTop="1" thickBot="1">
      <c r="A45" s="374"/>
      <c r="B45" s="261" t="s">
        <v>43</v>
      </c>
      <c r="C45" s="24"/>
      <c r="E45" s="21" t="s">
        <v>25</v>
      </c>
      <c r="F45" s="221"/>
      <c r="G45" s="222"/>
      <c r="H45" s="22"/>
      <c r="I45" s="369"/>
      <c r="AD45" s="294"/>
      <c r="AE45" s="310"/>
      <c r="AH45" s="309"/>
      <c r="AI45" s="299"/>
    </row>
    <row r="46" spans="1:35" ht="6.75" customHeight="1" thickTop="1">
      <c r="A46" s="374"/>
      <c r="B46" s="2"/>
      <c r="F46" s="3"/>
      <c r="G46" s="17"/>
      <c r="I46" s="369"/>
      <c r="AD46" s="294"/>
      <c r="AH46" s="311"/>
      <c r="AI46" s="270"/>
    </row>
    <row r="47" spans="1:35" ht="21.75" customHeight="1">
      <c r="A47" s="374"/>
      <c r="B47" s="27" t="s">
        <v>44</v>
      </c>
      <c r="C47" s="26"/>
      <c r="D47" s="26"/>
      <c r="E47" s="26" t="s">
        <v>31</v>
      </c>
      <c r="F47" s="239">
        <f>F38+F39+F40+F41+F42+F43+F44</f>
        <v>702.66666666666663</v>
      </c>
      <c r="G47" s="240">
        <f>G38+G39+G40+G41+G42+G43+G44</f>
        <v>8432</v>
      </c>
      <c r="H47" s="33"/>
      <c r="I47" s="369"/>
      <c r="AD47" s="306" t="s">
        <v>44</v>
      </c>
      <c r="AE47" s="284"/>
      <c r="AF47" s="284"/>
      <c r="AG47" s="284" t="s">
        <v>31</v>
      </c>
      <c r="AH47" s="312">
        <f>AH38+AH39+AH40+AH41+AH42+AH43+AH44</f>
        <v>702.66666666666663</v>
      </c>
      <c r="AI47" s="313">
        <f>AI38+AI39+AI40+AI41+AI42+AI43+AI44</f>
        <v>8432</v>
      </c>
    </row>
    <row r="48" spans="1:35" ht="6.75" customHeight="1" thickBot="1">
      <c r="A48" s="374"/>
      <c r="B48" s="4"/>
      <c r="C48" s="5"/>
      <c r="D48" s="5"/>
      <c r="E48" s="5"/>
      <c r="F48" s="212"/>
      <c r="G48" s="213"/>
      <c r="I48" s="369"/>
      <c r="AD48" s="287"/>
      <c r="AE48" s="288"/>
      <c r="AF48" s="288"/>
      <c r="AG48" s="288"/>
      <c r="AH48" s="314"/>
      <c r="AI48" s="315"/>
    </row>
    <row r="49" spans="1:35" ht="21.75" customHeight="1" thickBot="1">
      <c r="A49" s="374"/>
      <c r="B49" s="9" t="s">
        <v>45</v>
      </c>
      <c r="C49" s="11"/>
      <c r="D49" s="11"/>
      <c r="E49" s="11"/>
      <c r="F49" s="8" t="s">
        <v>19</v>
      </c>
      <c r="G49" s="20" t="s">
        <v>20</v>
      </c>
      <c r="H49" s="32"/>
      <c r="I49" s="369"/>
      <c r="AD49" s="316" t="s">
        <v>45</v>
      </c>
      <c r="AE49" s="317"/>
      <c r="AF49" s="317"/>
      <c r="AG49" s="317"/>
      <c r="AH49" s="292" t="s">
        <v>19</v>
      </c>
      <c r="AI49" s="293" t="s">
        <v>20</v>
      </c>
    </row>
    <row r="50" spans="1:35" ht="21.75" customHeight="1">
      <c r="A50" s="374"/>
      <c r="B50" s="2" t="s">
        <v>34</v>
      </c>
      <c r="F50" s="220">
        <f>F35</f>
        <v>2300</v>
      </c>
      <c r="G50" s="237">
        <f>G35</f>
        <v>27600</v>
      </c>
      <c r="H50" s="22"/>
      <c r="AD50" s="294" t="s">
        <v>34</v>
      </c>
      <c r="AH50" s="309">
        <f>AH35</f>
        <v>2300</v>
      </c>
      <c r="AI50" s="299">
        <f>AI35</f>
        <v>27600</v>
      </c>
    </row>
    <row r="51" spans="1:35" ht="21.75" customHeight="1">
      <c r="A51" s="374"/>
      <c r="B51" s="2" t="s">
        <v>44</v>
      </c>
      <c r="E51" s="28" t="s">
        <v>33</v>
      </c>
      <c r="F51" s="220">
        <f>F47</f>
        <v>702.66666666666663</v>
      </c>
      <c r="G51" s="237">
        <f>G47</f>
        <v>8432</v>
      </c>
      <c r="H51" s="22"/>
      <c r="AD51" s="294" t="s">
        <v>44</v>
      </c>
      <c r="AG51" s="268" t="s">
        <v>33</v>
      </c>
      <c r="AH51" s="309">
        <f>AH47</f>
        <v>702.66666666666663</v>
      </c>
      <c r="AI51" s="299">
        <f>AI47</f>
        <v>8432</v>
      </c>
    </row>
    <row r="52" spans="1:35" ht="6.75" customHeight="1" thickBot="1">
      <c r="A52" s="374"/>
      <c r="B52" s="2"/>
      <c r="D52" s="21"/>
      <c r="E52" s="21"/>
      <c r="F52" s="241"/>
      <c r="G52" s="222"/>
      <c r="AD52" s="294"/>
      <c r="AF52" s="300"/>
      <c r="AG52" s="300"/>
      <c r="AH52" s="318"/>
      <c r="AI52" s="319"/>
    </row>
    <row r="53" spans="1:35" ht="21.75" customHeight="1" thickTop="1">
      <c r="A53" s="374"/>
      <c r="B53" s="27" t="s">
        <v>46</v>
      </c>
      <c r="C53" s="26"/>
      <c r="D53" s="26"/>
      <c r="E53" s="29" t="s">
        <v>31</v>
      </c>
      <c r="F53" s="242">
        <f>F50-F51</f>
        <v>1597.3333333333335</v>
      </c>
      <c r="G53" s="243">
        <f>G50-G51</f>
        <v>19168</v>
      </c>
      <c r="H53" s="33"/>
      <c r="AD53" s="306" t="s">
        <v>46</v>
      </c>
      <c r="AE53" s="284"/>
      <c r="AF53" s="284"/>
      <c r="AG53" s="320" t="s">
        <v>31</v>
      </c>
      <c r="AH53" s="321">
        <f>AH50-AH51</f>
        <v>1597.3333333333335</v>
      </c>
      <c r="AI53" s="322">
        <f>AI50-AI51</f>
        <v>19168</v>
      </c>
    </row>
    <row r="54" spans="1:35" ht="6.75" customHeight="1" thickBot="1">
      <c r="A54" s="374"/>
      <c r="B54" s="2"/>
      <c r="F54" s="3"/>
      <c r="G54" s="17"/>
      <c r="AD54" s="294"/>
      <c r="AH54" s="311"/>
      <c r="AI54" s="270"/>
    </row>
    <row r="55" spans="1:35" ht="21.75" customHeight="1" thickBot="1">
      <c r="A55" s="374"/>
      <c r="B55" s="9" t="s">
        <v>47</v>
      </c>
      <c r="C55" s="11"/>
      <c r="D55" s="11"/>
      <c r="E55" s="11"/>
      <c r="F55" s="8" t="s">
        <v>19</v>
      </c>
      <c r="G55" s="20" t="s">
        <v>20</v>
      </c>
      <c r="H55" s="32"/>
      <c r="AD55" s="316" t="s">
        <v>47</v>
      </c>
      <c r="AE55" s="317"/>
      <c r="AF55" s="317"/>
      <c r="AG55" s="317"/>
      <c r="AH55" s="292" t="s">
        <v>19</v>
      </c>
      <c r="AI55" s="293" t="s">
        <v>20</v>
      </c>
    </row>
    <row r="56" spans="1:35" ht="19.5" customHeight="1">
      <c r="A56" s="374"/>
      <c r="B56" s="2" t="s">
        <v>46</v>
      </c>
      <c r="D56" s="28"/>
      <c r="E56" s="28"/>
      <c r="F56" s="218">
        <f>F53</f>
        <v>1597.3333333333335</v>
      </c>
      <c r="G56" s="233">
        <f>G53</f>
        <v>19168</v>
      </c>
      <c r="H56" s="31"/>
      <c r="AD56" s="294" t="s">
        <v>46</v>
      </c>
      <c r="AF56" s="268"/>
      <c r="AG56" s="268"/>
      <c r="AH56" s="323">
        <f>AH53</f>
        <v>1597.3333333333335</v>
      </c>
      <c r="AI56" s="324">
        <f>AI53</f>
        <v>19168</v>
      </c>
    </row>
    <row r="57" spans="1:35" ht="19.5" customHeight="1">
      <c r="A57" s="374"/>
      <c r="B57" s="2" t="s">
        <v>165</v>
      </c>
      <c r="D57" s="28"/>
      <c r="E57" s="28" t="s">
        <v>33</v>
      </c>
      <c r="F57" s="218">
        <f>F25</f>
        <v>2193.7529494843466</v>
      </c>
      <c r="G57" s="233">
        <f>G25</f>
        <v>26325.035393812159</v>
      </c>
      <c r="AD57" s="294" t="s">
        <v>21</v>
      </c>
      <c r="AF57" s="268"/>
      <c r="AG57" s="268" t="s">
        <v>33</v>
      </c>
      <c r="AH57" s="323">
        <f>AH25</f>
        <v>2086.3886248819185</v>
      </c>
      <c r="AI57" s="324">
        <f>AI25</f>
        <v>25036.663498583024</v>
      </c>
    </row>
    <row r="58" spans="1:35" ht="6.75" customHeight="1" thickBot="1">
      <c r="A58" s="374"/>
      <c r="B58" s="2"/>
      <c r="D58" s="30"/>
      <c r="E58" s="30"/>
      <c r="F58" s="244"/>
      <c r="G58" s="234"/>
      <c r="H58" s="34"/>
      <c r="AD58" s="294"/>
      <c r="AF58" s="325"/>
      <c r="AG58" s="325"/>
      <c r="AH58" s="325"/>
      <c r="AI58" s="326"/>
    </row>
    <row r="59" spans="1:35" ht="19.5" customHeight="1" thickTop="1">
      <c r="A59" s="374"/>
      <c r="B59" s="27" t="s">
        <v>48</v>
      </c>
      <c r="C59" s="26"/>
      <c r="D59" s="29"/>
      <c r="E59" s="29" t="s">
        <v>31</v>
      </c>
      <c r="F59" s="245">
        <f>F56-F57</f>
        <v>-596.41961615101309</v>
      </c>
      <c r="G59" s="246">
        <f>F59*12</f>
        <v>-7157.0353938121571</v>
      </c>
      <c r="H59" s="339">
        <v>0</v>
      </c>
      <c r="I59" s="195" t="s">
        <v>49</v>
      </c>
      <c r="AD59" s="306" t="s">
        <v>48</v>
      </c>
      <c r="AE59" s="284"/>
      <c r="AF59" s="320"/>
      <c r="AG59" s="320" t="s">
        <v>31</v>
      </c>
      <c r="AH59" s="327">
        <f>AH56-AH57</f>
        <v>-489.05529154858505</v>
      </c>
      <c r="AI59" s="328">
        <f>AH59*12</f>
        <v>-5868.6634985830206</v>
      </c>
    </row>
    <row r="60" spans="1:35" ht="6.75" customHeight="1" thickBot="1">
      <c r="A60" s="374"/>
      <c r="B60" s="4"/>
      <c r="C60" s="5"/>
      <c r="D60" s="5"/>
      <c r="E60" s="5"/>
      <c r="F60" s="5"/>
      <c r="G60" s="18"/>
      <c r="H60" s="7">
        <v>0</v>
      </c>
      <c r="AD60" s="287"/>
      <c r="AE60" s="288"/>
      <c r="AF60" s="288"/>
      <c r="AG60" s="288"/>
      <c r="AH60" s="288"/>
      <c r="AI60" s="289"/>
    </row>
    <row r="61" spans="1:35" ht="21" customHeight="1" thickBot="1">
      <c r="A61" s="373" t="s">
        <v>50</v>
      </c>
      <c r="B61" s="9" t="s">
        <v>51</v>
      </c>
      <c r="C61" s="65"/>
      <c r="D61" s="11"/>
      <c r="E61" s="11"/>
      <c r="F61" s="370" t="s">
        <v>52</v>
      </c>
      <c r="G61" s="370"/>
      <c r="H61" s="214">
        <f>'ROI Analysis'!X4</f>
        <v>4.7919999999999997E-2</v>
      </c>
      <c r="L61" s="31"/>
    </row>
    <row r="62" spans="1:35" ht="14.1" customHeight="1" thickBot="1">
      <c r="A62" s="374"/>
      <c r="B62" s="69" t="s">
        <v>53</v>
      </c>
      <c r="C62" s="153"/>
      <c r="D62" s="66"/>
      <c r="E62" s="66"/>
      <c r="F62" s="66"/>
      <c r="G62" s="66"/>
      <c r="H62" s="67"/>
      <c r="L62" s="31"/>
    </row>
    <row r="63" spans="1:35" ht="14.1" customHeight="1">
      <c r="A63" s="374"/>
      <c r="B63" s="154" t="s">
        <v>54</v>
      </c>
      <c r="C63" s="251">
        <v>0.02</v>
      </c>
      <c r="D63" s="66"/>
      <c r="E63" s="66"/>
      <c r="F63" s="66"/>
      <c r="G63" s="66"/>
      <c r="H63" s="67"/>
      <c r="L63" s="31"/>
    </row>
    <row r="64" spans="1:35" ht="14.1" customHeight="1">
      <c r="A64" s="374"/>
      <c r="B64" s="156" t="s">
        <v>55</v>
      </c>
      <c r="C64" s="252">
        <v>0.02</v>
      </c>
      <c r="D64" s="66"/>
      <c r="E64" s="66"/>
      <c r="F64" s="66"/>
      <c r="G64" s="66"/>
      <c r="H64" s="67"/>
      <c r="L64" s="31"/>
    </row>
    <row r="65" spans="1:8" ht="14.1" customHeight="1" thickBot="1">
      <c r="A65" s="374"/>
      <c r="B65" s="155" t="s">
        <v>56</v>
      </c>
      <c r="C65" s="253">
        <v>0.04</v>
      </c>
      <c r="G65" s="1"/>
      <c r="H65" s="118"/>
    </row>
    <row r="66" spans="1:8" ht="21" customHeight="1">
      <c r="A66" s="374"/>
      <c r="B66" s="68"/>
      <c r="C66" s="371" t="s">
        <v>57</v>
      </c>
      <c r="D66" s="371"/>
      <c r="E66" s="371"/>
      <c r="F66" s="259" t="s">
        <v>58</v>
      </c>
      <c r="G66" s="119" t="s">
        <v>59</v>
      </c>
      <c r="H66" s="120" t="s">
        <v>60</v>
      </c>
    </row>
    <row r="67" spans="1:8" ht="21" customHeight="1">
      <c r="A67" s="374"/>
      <c r="B67" s="15" t="s">
        <v>61</v>
      </c>
      <c r="C67" s="372">
        <f>G35</f>
        <v>27600</v>
      </c>
      <c r="D67" s="372"/>
      <c r="E67" s="372"/>
      <c r="F67" s="260">
        <f>'ROI Analysis'!E8</f>
        <v>29875.127616000002</v>
      </c>
      <c r="G67" s="193">
        <f>'ROI Analysis'!E13</f>
        <v>32984.554893975779</v>
      </c>
      <c r="H67" s="194">
        <f>'ROI Analysis'!E18</f>
        <v>36417.613860535253</v>
      </c>
    </row>
    <row r="68" spans="1:8" ht="21" customHeight="1">
      <c r="A68" s="374"/>
      <c r="B68" s="15" t="s">
        <v>62</v>
      </c>
      <c r="C68" s="372">
        <f>G47</f>
        <v>8432</v>
      </c>
      <c r="D68" s="372"/>
      <c r="E68" s="372"/>
      <c r="F68" s="260">
        <f>'ROI Analysis'!G8</f>
        <v>9127.0679731199998</v>
      </c>
      <c r="G68" s="193">
        <f>'ROI Analysis'!G13</f>
        <v>10077.020538623327</v>
      </c>
      <c r="H68" s="194">
        <f>'ROI Analysis'!G18</f>
        <v>11125.844930146139</v>
      </c>
    </row>
    <row r="69" spans="1:8" ht="21" customHeight="1">
      <c r="A69" s="374"/>
      <c r="B69" s="15" t="s">
        <v>63</v>
      </c>
      <c r="C69" s="372">
        <f>G59</f>
        <v>-7157.0353938121571</v>
      </c>
      <c r="D69" s="372"/>
      <c r="E69" s="372"/>
      <c r="F69" s="260">
        <f>F67-F68-G57</f>
        <v>-5576.9757509321571</v>
      </c>
      <c r="G69" s="193">
        <f>G67-G68-G57</f>
        <v>-3417.5010384597081</v>
      </c>
      <c r="H69" s="194">
        <f>H67-H68-G57</f>
        <v>-1033.2664634230423</v>
      </c>
    </row>
    <row r="70" spans="1:8" ht="21" customHeight="1">
      <c r="A70" s="374"/>
      <c r="B70" s="15" t="s">
        <v>64</v>
      </c>
      <c r="C70" s="372">
        <f>'ROI Analysis'!P4</f>
        <v>416000</v>
      </c>
      <c r="D70" s="372"/>
      <c r="E70" s="372"/>
      <c r="F70" s="260">
        <f>'ROI Analysis'!P8</f>
        <v>486661.16096000007</v>
      </c>
      <c r="G70" s="193">
        <f>'ROI Analysis'!P13</f>
        <v>592097.71396733786</v>
      </c>
      <c r="H70" s="194">
        <f>'ROI Analysis'!P18</f>
        <v>720377.40220276674</v>
      </c>
    </row>
    <row r="71" spans="1:8" ht="21" customHeight="1">
      <c r="A71" s="374"/>
      <c r="B71" s="15" t="s">
        <v>65</v>
      </c>
      <c r="C71" s="372">
        <f>C70-C72</f>
        <v>105585.57962466939</v>
      </c>
      <c r="D71" s="372"/>
      <c r="E71" s="372"/>
      <c r="F71" s="260">
        <f>F70-F72</f>
        <v>191464.49516596511</v>
      </c>
      <c r="G71" s="193">
        <f>G70-G72</f>
        <v>322990.0796047966</v>
      </c>
      <c r="H71" s="194">
        <f>H70-H72</f>
        <v>488254.23779637425</v>
      </c>
    </row>
    <row r="72" spans="1:8" ht="21" customHeight="1">
      <c r="A72" s="374"/>
      <c r="B72" s="15" t="s">
        <v>66</v>
      </c>
      <c r="C72" s="372">
        <f>'Loan Amortization'!G26</f>
        <v>310414.42037533061</v>
      </c>
      <c r="D72" s="372"/>
      <c r="E72" s="372"/>
      <c r="F72" s="193">
        <f>'Loan Amortization'!G74</f>
        <v>295196.66579403495</v>
      </c>
      <c r="G72" s="193">
        <f>'Loan Amortization'!G134</f>
        <v>269107.63436254126</v>
      </c>
      <c r="H72" s="194">
        <f>'Loan Amortization'!G194</f>
        <v>232123.16440639252</v>
      </c>
    </row>
    <row r="73" spans="1:8" ht="21" customHeight="1">
      <c r="A73" s="374"/>
      <c r="B73" s="15" t="s">
        <v>67</v>
      </c>
      <c r="C73" s="372">
        <f>('ROI Analysis'!P4-'ROI Analysis'!R4-F15)-('ROI Analysis'!P4*0.08)</f>
        <v>8025.5796246693935</v>
      </c>
      <c r="D73" s="372"/>
      <c r="E73" s="372"/>
      <c r="F73" s="193">
        <f>(F70-F72-F15)-(F70*0.08)</f>
        <v>88251.602289165108</v>
      </c>
      <c r="G73" s="193">
        <f>(G70-G72-F15)-(G70*0.08)</f>
        <v>211342.26248740958</v>
      </c>
      <c r="H73" s="194">
        <f>(H70-H72-F15)-(H70*0.08)</f>
        <v>366344.0456201529</v>
      </c>
    </row>
    <row r="74" spans="1:8" ht="21" customHeight="1">
      <c r="A74" s="374"/>
      <c r="B74" s="15" t="s">
        <v>68</v>
      </c>
      <c r="C74" s="386">
        <f>'ROI Analysis'!Z4</f>
        <v>-0.11134155870896327</v>
      </c>
      <c r="D74" s="386"/>
      <c r="E74" s="386"/>
      <c r="F74" s="247">
        <f>F69/(F10+F14+F13)</f>
        <v>-6.6171995146323645E-2</v>
      </c>
      <c r="G74" s="247">
        <f>G69/(F10+F14+F13)</f>
        <v>-4.0549371600138918E-2</v>
      </c>
      <c r="H74" s="248">
        <f>H69/(F10+F14+F13)</f>
        <v>-1.2259924815176107E-2</v>
      </c>
    </row>
    <row r="75" spans="1:8" ht="21" customHeight="1">
      <c r="A75" s="374"/>
      <c r="B75" s="15" t="s">
        <v>155</v>
      </c>
      <c r="C75" s="387">
        <f>'ROI Analysis'!AI19</f>
        <v>-0.29303644524003203</v>
      </c>
      <c r="D75" s="387"/>
      <c r="E75" s="387"/>
      <c r="F75" s="263">
        <f>'ROI Analysis'!AM19</f>
        <v>8.0784515697444492E-2</v>
      </c>
      <c r="G75" s="263">
        <f>'ROI Analysis'!AQ19</f>
        <v>0.10028524769367375</v>
      </c>
      <c r="H75" s="393">
        <f>'ROI Analysis'!AU19</f>
        <v>9.8129780822787005E-2</v>
      </c>
    </row>
    <row r="76" spans="1:8" ht="21" customHeight="1" thickBot="1">
      <c r="A76" s="375"/>
      <c r="B76" s="57" t="s">
        <v>69</v>
      </c>
      <c r="C76" s="388">
        <f>'ROI Analysis'!Y4</f>
        <v>0.19171775513333172</v>
      </c>
      <c r="D76" s="388"/>
      <c r="E76" s="388"/>
      <c r="F76" s="249">
        <f>'ROI Analysis'!Y8</f>
        <v>0.27555262048301432</v>
      </c>
      <c r="G76" s="249">
        <f>'ROI Analysis'!Y13</f>
        <v>0.4011848504129128</v>
      </c>
      <c r="H76" s="250">
        <f>'ROI Analysis'!Y18</f>
        <v>0.55585877607908696</v>
      </c>
    </row>
    <row r="77" spans="1:8">
      <c r="F77" s="64"/>
      <c r="H77" s="36"/>
    </row>
    <row r="79" spans="1:8">
      <c r="C79" s="176"/>
    </row>
  </sheetData>
  <dataConsolidate/>
  <mergeCells count="19">
    <mergeCell ref="A61:A76"/>
    <mergeCell ref="A6:A26"/>
    <mergeCell ref="A2:G2"/>
    <mergeCell ref="A27:A60"/>
    <mergeCell ref="A3:B3"/>
    <mergeCell ref="A4:B4"/>
    <mergeCell ref="C69:E69"/>
    <mergeCell ref="C70:E70"/>
    <mergeCell ref="C71:E71"/>
    <mergeCell ref="C72:E72"/>
    <mergeCell ref="C73:E73"/>
    <mergeCell ref="C74:E74"/>
    <mergeCell ref="C75:E75"/>
    <mergeCell ref="C76:E76"/>
    <mergeCell ref="I31:I49"/>
    <mergeCell ref="F61:G61"/>
    <mergeCell ref="C66:E66"/>
    <mergeCell ref="C67:E67"/>
    <mergeCell ref="C68:E68"/>
  </mergeCells>
  <phoneticPr fontId="3" type="noConversion"/>
  <dataValidations disablePrompts="1" count="1">
    <dataValidation type="list" allowBlank="1" showInputMessage="1" showErrorMessage="1" sqref="G19" xr:uid="{C86CC85B-DAFB-4056-8513-20C4BB5F190D}">
      <formula1>$AK$10:$AK$11</formula1>
    </dataValidation>
  </dataValidations>
  <pageMargins left="0.75" right="0.25" top="1" bottom="0.5" header="0" footer="0"/>
  <pageSetup scale="85" fitToHeight="0" orientation="portrait" r:id="rId1"/>
  <headerFooter alignWithMargins="0"/>
  <rowBreaks count="1" manualBreakCount="1">
    <brk id="36" max="7"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V40"/>
  <sheetViews>
    <sheetView zoomScale="80" zoomScaleNormal="80" workbookViewId="0">
      <pane xSplit="1" ySplit="3" topLeftCell="T4" activePane="bottomRight" state="frozen"/>
      <selection pane="topRight" activeCell="B1" sqref="B1"/>
      <selection pane="bottomLeft" activeCell="A4" sqref="A4"/>
      <selection pane="bottomRight" activeCell="AF4" sqref="AF4"/>
    </sheetView>
  </sheetViews>
  <sheetFormatPr defaultColWidth="9.21875" defaultRowHeight="13.8"/>
  <cols>
    <col min="1" max="1" width="11.44140625" style="73" customWidth="1"/>
    <col min="2" max="2" width="16.21875" style="73" customWidth="1"/>
    <col min="3" max="3" width="13.77734375" style="73" customWidth="1"/>
    <col min="4" max="4" width="12.44140625" style="73" customWidth="1"/>
    <col min="5" max="5" width="16.44140625" style="91" customWidth="1"/>
    <col min="6" max="6" width="16.44140625" style="73" customWidth="1"/>
    <col min="7" max="7" width="14.77734375" style="91" customWidth="1"/>
    <col min="8" max="8" width="14.77734375" style="73" customWidth="1"/>
    <col min="9" max="9" width="21" style="138" customWidth="1"/>
    <col min="10" max="10" width="17.77734375" style="73" customWidth="1"/>
    <col min="11" max="11" width="14.77734375" style="91" customWidth="1"/>
    <col min="12" max="12" width="15.21875" style="73" customWidth="1"/>
    <col min="13" max="13" width="15" style="73" customWidth="1"/>
    <col min="14" max="14" width="17.77734375" style="138" customWidth="1"/>
    <col min="15" max="15" width="17.44140625" style="73" customWidth="1"/>
    <col min="16" max="16" width="19.77734375" style="91" customWidth="1"/>
    <col min="17" max="17" width="16.44140625" style="73" customWidth="1"/>
    <col min="18" max="18" width="12.21875" style="91" bestFit="1" customWidth="1"/>
    <col min="19" max="19" width="12.21875" style="91" customWidth="1"/>
    <col min="20" max="20" width="14" style="73" customWidth="1"/>
    <col min="21" max="21" width="19.21875" style="73" customWidth="1"/>
    <col min="22" max="22" width="17.21875" style="73" customWidth="1"/>
    <col min="23" max="23" width="15.21875" style="73" bestFit="1" customWidth="1"/>
    <col min="24" max="24" width="10.77734375" style="91" bestFit="1" customWidth="1"/>
    <col min="25" max="25" width="12.21875" style="100" bestFit="1" customWidth="1"/>
    <col min="26" max="26" width="11.44140625" style="100" bestFit="1" customWidth="1"/>
    <col min="27" max="27" width="14.5546875" style="92" customWidth="1"/>
    <col min="28" max="28" width="24.5546875" style="73" customWidth="1"/>
    <col min="29" max="29" width="21.21875" style="73" customWidth="1"/>
    <col min="30" max="30" width="22.21875" style="73" customWidth="1"/>
    <col min="31" max="31" width="13.44140625" style="73" bestFit="1" customWidth="1"/>
    <col min="32" max="32" width="13.44140625" style="73" customWidth="1"/>
    <col min="33" max="33" width="22.21875" style="73" customWidth="1"/>
    <col min="34" max="35" width="13.44140625" style="73" customWidth="1"/>
    <col min="36" max="36" width="14.21875" style="73" customWidth="1"/>
    <col min="37" max="37" width="26.21875" style="73" customWidth="1"/>
    <col min="38" max="38" width="14.77734375" style="73" customWidth="1"/>
    <col min="39" max="39" width="17.21875" style="73" customWidth="1"/>
    <col min="40" max="40" width="15.44140625" style="73" customWidth="1"/>
    <col min="41" max="41" width="21.5546875" style="73" customWidth="1"/>
    <col min="42" max="42" width="14.77734375" style="73" customWidth="1"/>
    <col min="43" max="43" width="17.21875" style="73" customWidth="1"/>
    <col min="44" max="44" width="13.44140625" style="73" customWidth="1"/>
    <col min="45" max="45" width="20.44140625" style="73" customWidth="1"/>
    <col min="46" max="46" width="14.77734375" style="73" customWidth="1"/>
    <col min="47" max="47" width="15.21875" style="73" customWidth="1"/>
    <col min="48" max="262" width="11.44140625" style="73" customWidth="1"/>
    <col min="263" max="16384" width="9.21875" style="73"/>
  </cols>
  <sheetData>
    <row r="2" spans="1:48" ht="15.6">
      <c r="A2" s="93" t="s">
        <v>92</v>
      </c>
      <c r="B2" s="94"/>
      <c r="C2" s="94"/>
      <c r="D2" s="94"/>
      <c r="E2" s="98"/>
      <c r="F2" s="94"/>
      <c r="G2" s="98"/>
      <c r="H2" s="94"/>
      <c r="I2" s="135"/>
      <c r="J2" s="94"/>
      <c r="K2" s="94"/>
      <c r="L2" s="94"/>
      <c r="M2" s="94"/>
      <c r="N2" s="135"/>
      <c r="O2" s="94"/>
      <c r="P2" s="98"/>
      <c r="Q2" s="94"/>
      <c r="R2" s="98"/>
      <c r="S2" s="98"/>
      <c r="T2" s="94"/>
      <c r="U2" s="94"/>
      <c r="V2" s="94"/>
      <c r="W2" s="94"/>
      <c r="X2" s="98"/>
      <c r="Y2" s="98"/>
      <c r="Z2" s="98"/>
      <c r="AA2" s="94"/>
      <c r="AB2" s="94"/>
      <c r="AC2" s="94"/>
      <c r="AD2" s="94"/>
      <c r="AE2" s="94"/>
      <c r="AF2" s="94"/>
      <c r="AG2" s="94"/>
      <c r="AH2" s="94"/>
      <c r="AI2" s="94"/>
      <c r="AJ2" s="94"/>
      <c r="AK2" s="94"/>
      <c r="AL2" s="94"/>
      <c r="AM2" s="94"/>
      <c r="AN2" s="94"/>
      <c r="AO2" s="94"/>
      <c r="AP2" s="94"/>
      <c r="AQ2" s="94"/>
      <c r="AR2" s="94"/>
      <c r="AS2" s="94"/>
      <c r="AT2" s="94"/>
      <c r="AU2" s="95"/>
      <c r="AV2" s="142"/>
    </row>
    <row r="3" spans="1:48" s="72" customFormat="1" ht="97.5" customHeight="1" thickBot="1">
      <c r="A3" s="70" t="s">
        <v>93</v>
      </c>
      <c r="B3" s="70" t="s">
        <v>94</v>
      </c>
      <c r="C3" s="70" t="s">
        <v>95</v>
      </c>
      <c r="D3" s="70" t="s">
        <v>96</v>
      </c>
      <c r="E3" s="71" t="s">
        <v>97</v>
      </c>
      <c r="F3" s="70" t="s">
        <v>98</v>
      </c>
      <c r="G3" s="71" t="s">
        <v>99</v>
      </c>
      <c r="H3" s="70" t="s">
        <v>100</v>
      </c>
      <c r="I3" s="136" t="s">
        <v>101</v>
      </c>
      <c r="J3" s="70" t="s">
        <v>102</v>
      </c>
      <c r="K3" s="71" t="s">
        <v>103</v>
      </c>
      <c r="L3" s="70" t="s">
        <v>104</v>
      </c>
      <c r="M3" s="70" t="s">
        <v>105</v>
      </c>
      <c r="N3" s="136" t="s">
        <v>106</v>
      </c>
      <c r="O3" s="70" t="s">
        <v>107</v>
      </c>
      <c r="P3" s="71" t="s">
        <v>108</v>
      </c>
      <c r="Q3" s="70" t="s">
        <v>109</v>
      </c>
      <c r="R3" s="71" t="s">
        <v>157</v>
      </c>
      <c r="S3" s="71" t="s">
        <v>158</v>
      </c>
      <c r="T3" s="70" t="s">
        <v>65</v>
      </c>
      <c r="U3" s="70" t="s">
        <v>111</v>
      </c>
      <c r="V3" s="70" t="s">
        <v>112</v>
      </c>
      <c r="W3" s="70" t="s">
        <v>113</v>
      </c>
      <c r="X3" s="71" t="s">
        <v>114</v>
      </c>
      <c r="Y3" s="71" t="s">
        <v>115</v>
      </c>
      <c r="Z3" s="71" t="s">
        <v>116</v>
      </c>
      <c r="AA3" s="70" t="s">
        <v>159</v>
      </c>
      <c r="AB3" s="70" t="s">
        <v>117</v>
      </c>
      <c r="AC3" s="70" t="s">
        <v>118</v>
      </c>
      <c r="AD3" s="70" t="s">
        <v>119</v>
      </c>
      <c r="AE3" s="70" t="s">
        <v>120</v>
      </c>
      <c r="AF3" s="121"/>
      <c r="AG3" s="121"/>
      <c r="AH3" s="121"/>
      <c r="AI3" s="121"/>
      <c r="AJ3" s="390" t="s">
        <v>121</v>
      </c>
      <c r="AK3" s="391"/>
      <c r="AL3" s="391"/>
      <c r="AM3" s="391"/>
      <c r="AN3" s="391"/>
      <c r="AO3" s="391"/>
      <c r="AP3" s="391"/>
      <c r="AQ3" s="391"/>
      <c r="AR3" s="391"/>
      <c r="AS3" s="391"/>
      <c r="AT3" s="391"/>
      <c r="AU3" s="392"/>
      <c r="AV3" s="143"/>
    </row>
    <row r="4" spans="1:48" ht="15.6">
      <c r="A4" s="74">
        <v>1</v>
      </c>
      <c r="B4" s="76">
        <f>'Analysis Worksheet'!C64</f>
        <v>0.02</v>
      </c>
      <c r="C4" s="75">
        <f>'Analysis Worksheet'!G33</f>
        <v>27600</v>
      </c>
      <c r="D4" s="77">
        <f>'Analysis Worksheet'!C34</f>
        <v>0</v>
      </c>
      <c r="E4" s="78">
        <f t="shared" ref="E4:E34" si="0">C4-(C4*D4)</f>
        <v>27600</v>
      </c>
      <c r="F4" s="96">
        <f>'Analysis Worksheet'!C63</f>
        <v>0.02</v>
      </c>
      <c r="G4" s="78">
        <f>'Analysis Worksheet'!G47</f>
        <v>8432</v>
      </c>
      <c r="H4" s="75">
        <f>E4-G4</f>
        <v>19168</v>
      </c>
      <c r="I4" s="137">
        <f>'Loan Amortization'!H26+'Loan Amortization 2nd Loan'!H26</f>
        <v>3480.6526937827221</v>
      </c>
      <c r="J4" s="75">
        <f>I4</f>
        <v>3480.6526937827221</v>
      </c>
      <c r="K4" s="78">
        <f>H4-'Analysis Worksheet'!G25</f>
        <v>-7157.0353938121589</v>
      </c>
      <c r="L4" s="75">
        <f>'Analysis Worksheet'!F6</f>
        <v>400000</v>
      </c>
      <c r="M4" s="96">
        <f>'Analysis Worksheet'!C65</f>
        <v>0.04</v>
      </c>
      <c r="N4" s="137">
        <f>L4*(1+M4)-L4</f>
        <v>16000</v>
      </c>
      <c r="O4" s="75">
        <f>N4</f>
        <v>16000</v>
      </c>
      <c r="P4" s="78">
        <f t="shared" ref="P4:P33" si="1">L4+N4</f>
        <v>416000</v>
      </c>
      <c r="Q4" s="75">
        <f>P4*0.08</f>
        <v>33280</v>
      </c>
      <c r="R4" s="78">
        <f>'Loan Amortization'!G26</f>
        <v>310414.42037533061</v>
      </c>
      <c r="S4" s="78">
        <f>'Loan Amortization 2nd Loan'!G26</f>
        <v>19704.926930886508</v>
      </c>
      <c r="T4" s="75">
        <f>P4-R4-S4</f>
        <v>85880.652693782889</v>
      </c>
      <c r="U4" s="75">
        <f>K4</f>
        <v>-7157.0353938121589</v>
      </c>
      <c r="V4" s="97">
        <f>'Analysis Worksheet'!F15</f>
        <v>64280</v>
      </c>
      <c r="W4" s="75">
        <f>I4+N4+K4</f>
        <v>12323.617299970563</v>
      </c>
      <c r="X4" s="99">
        <f>H4/'Analysis Worksheet'!F6</f>
        <v>4.7919999999999997E-2</v>
      </c>
      <c r="Y4" s="99">
        <f>W4/V4</f>
        <v>0.19171775513333172</v>
      </c>
      <c r="Z4" s="89">
        <f t="shared" ref="Z4:Z33" si="2">K4/V4</f>
        <v>-0.11134155870896327</v>
      </c>
      <c r="AA4" s="81">
        <f>W4/T4</f>
        <v>0.14349701490872227</v>
      </c>
      <c r="AB4" s="82">
        <f t="shared" ref="AB4:AB33" si="3">J4+O4+U4</f>
        <v>12323.617299970563</v>
      </c>
      <c r="AC4" s="80">
        <f t="shared" ref="AC4:AC33" si="4">AB4/V4</f>
        <v>0.19171775513333172</v>
      </c>
      <c r="AD4" s="75">
        <f t="shared" ref="AD4:AD33" si="5">J4+O4+U4-Q4</f>
        <v>-20956.382700029437</v>
      </c>
      <c r="AE4" s="107">
        <f t="shared" ref="AE4:AE33" si="6">AD4/V4</f>
        <v>-0.32601715463642561</v>
      </c>
      <c r="AF4" s="117">
        <f>-'Analysis Worksheet'!F15</f>
        <v>-64280</v>
      </c>
      <c r="AG4" s="109" t="s">
        <v>122</v>
      </c>
      <c r="AH4" s="109"/>
      <c r="AI4" s="109"/>
      <c r="AJ4" s="110">
        <f>-'Analysis Worksheet'!F15</f>
        <v>-64280</v>
      </c>
      <c r="AK4" s="109" t="s">
        <v>122</v>
      </c>
      <c r="AL4" s="109"/>
      <c r="AM4" s="109"/>
      <c r="AN4" s="134">
        <f>-'Analysis Worksheet'!F15</f>
        <v>-64280</v>
      </c>
      <c r="AO4" s="109" t="s">
        <v>122</v>
      </c>
      <c r="AP4" s="109"/>
      <c r="AQ4" s="109"/>
      <c r="AR4" s="110">
        <f>-'Analysis Worksheet'!F15</f>
        <v>-64280</v>
      </c>
      <c r="AS4" s="109" t="s">
        <v>122</v>
      </c>
      <c r="AT4" s="109"/>
      <c r="AU4" s="111"/>
      <c r="AV4" s="144"/>
    </row>
    <row r="5" spans="1:48" ht="15.6">
      <c r="A5" s="74">
        <v>2</v>
      </c>
      <c r="B5" s="76">
        <f>'Analysis Worksheet'!C64</f>
        <v>0.02</v>
      </c>
      <c r="C5" s="75">
        <f t="shared" ref="C5:C34" si="7">(C4*B5)+C4</f>
        <v>28152</v>
      </c>
      <c r="D5" s="77">
        <f>'Analysis Worksheet'!C34</f>
        <v>0</v>
      </c>
      <c r="E5" s="78">
        <f t="shared" si="0"/>
        <v>28152</v>
      </c>
      <c r="F5" s="96">
        <f>'Analysis Worksheet'!C63</f>
        <v>0.02</v>
      </c>
      <c r="G5" s="87">
        <f>(G4*F4)+G4</f>
        <v>8600.64</v>
      </c>
      <c r="H5" s="75">
        <f t="shared" ref="H5:H33" si="8">E5-G5</f>
        <v>19551.36</v>
      </c>
      <c r="I5" s="137">
        <f>'Loan Amortization'!H38+'Loan Amortization 2nd Loan'!H38</f>
        <v>3726.0350006536792</v>
      </c>
      <c r="J5" s="75">
        <f>I5+J4</f>
        <v>7206.6876944364012</v>
      </c>
      <c r="K5" s="78">
        <f>H5-'Analysis Worksheet'!G25</f>
        <v>-6773.6753938121583</v>
      </c>
      <c r="L5" s="79">
        <f>P4</f>
        <v>416000</v>
      </c>
      <c r="M5" s="96">
        <f>'Analysis Worksheet'!C65</f>
        <v>0.04</v>
      </c>
      <c r="N5" s="137">
        <f t="shared" ref="N5:N34" si="9">L5*(1+M5)-L5</f>
        <v>16640</v>
      </c>
      <c r="O5" s="75">
        <f>N5+O4</f>
        <v>32640</v>
      </c>
      <c r="P5" s="78">
        <f t="shared" si="1"/>
        <v>432640</v>
      </c>
      <c r="Q5" s="75">
        <f t="shared" ref="Q5:Q33" si="10">P5*0.08</f>
        <v>34611.199999999997</v>
      </c>
      <c r="R5" s="78">
        <f>'Loan Amortization'!G38</f>
        <v>306998.55494202004</v>
      </c>
      <c r="S5" s="78">
        <f>'Loan Amortization 2nd Loan'!G38</f>
        <v>19394.757363543373</v>
      </c>
      <c r="T5" s="75">
        <f t="shared" ref="T5:T33" si="11">P5-R5-S5</f>
        <v>106246.68769443658</v>
      </c>
      <c r="U5" s="75">
        <f t="shared" ref="U5:U33" si="12">U4+K5</f>
        <v>-13930.710787624317</v>
      </c>
      <c r="V5" s="75">
        <f>'Analysis Worksheet'!F15</f>
        <v>64280</v>
      </c>
      <c r="W5" s="75">
        <f>I5+N5+K5</f>
        <v>13592.359606841521</v>
      </c>
      <c r="X5" s="89">
        <f>H5/'Analysis Worksheet'!F6</f>
        <v>4.8878400000000002E-2</v>
      </c>
      <c r="Y5" s="89">
        <f t="shared" ref="Y5:Y33" si="13">W5/V5</f>
        <v>0.21145550103984942</v>
      </c>
      <c r="Z5" s="89">
        <f t="shared" si="2"/>
        <v>-0.10537765080603856</v>
      </c>
      <c r="AA5" s="81">
        <f t="shared" ref="AA5:AA33" si="14">W5/T5</f>
        <v>0.12793207865390482</v>
      </c>
      <c r="AB5" s="82">
        <f t="shared" si="3"/>
        <v>25915.976906812088</v>
      </c>
      <c r="AC5" s="77">
        <f t="shared" si="4"/>
        <v>0.40317325617318123</v>
      </c>
      <c r="AD5" s="75">
        <f t="shared" si="5"/>
        <v>-8695.2230931879094</v>
      </c>
      <c r="AE5" s="107">
        <f t="shared" si="6"/>
        <v>-0.13527104998736636</v>
      </c>
      <c r="AF5" s="101">
        <f>K4+AI7</f>
        <v>45443.617299970734</v>
      </c>
      <c r="AG5" s="102" t="s">
        <v>123</v>
      </c>
      <c r="AH5" s="102" t="s">
        <v>124</v>
      </c>
      <c r="AI5" s="123">
        <f>P4</f>
        <v>416000</v>
      </c>
      <c r="AJ5" s="105">
        <f>K4</f>
        <v>-7157.0353938121589</v>
      </c>
      <c r="AK5" s="102" t="s">
        <v>125</v>
      </c>
      <c r="AL5" s="102" t="s">
        <v>124</v>
      </c>
      <c r="AM5" s="123">
        <f>P8</f>
        <v>486661.16096000007</v>
      </c>
      <c r="AN5" s="133">
        <f t="shared" ref="AN5:AN13" si="15">K4</f>
        <v>-7157.0353938121589</v>
      </c>
      <c r="AO5" s="102" t="s">
        <v>125</v>
      </c>
      <c r="AP5" s="102" t="s">
        <v>124</v>
      </c>
      <c r="AQ5" s="123">
        <f>P13</f>
        <v>592097.71396733786</v>
      </c>
      <c r="AR5" s="105">
        <f t="shared" ref="AR5:AR18" si="16">K4</f>
        <v>-7157.0353938121589</v>
      </c>
      <c r="AS5" s="102" t="s">
        <v>125</v>
      </c>
      <c r="AT5" s="102" t="s">
        <v>124</v>
      </c>
      <c r="AU5" s="103">
        <f>P18</f>
        <v>720377.40220276674</v>
      </c>
      <c r="AV5" s="144"/>
    </row>
    <row r="6" spans="1:48" ht="15.6">
      <c r="A6" s="74">
        <v>3</v>
      </c>
      <c r="B6" s="76">
        <f>'Analysis Worksheet'!C64</f>
        <v>0.02</v>
      </c>
      <c r="C6" s="75">
        <f t="shared" si="7"/>
        <v>28715.040000000001</v>
      </c>
      <c r="D6" s="77">
        <f>'Analysis Worksheet'!C34</f>
        <v>0</v>
      </c>
      <c r="E6" s="78">
        <f t="shared" si="0"/>
        <v>28715.040000000001</v>
      </c>
      <c r="F6" s="96">
        <f>'Analysis Worksheet'!C63</f>
        <v>0.02</v>
      </c>
      <c r="G6" s="87">
        <f t="shared" ref="G6:G34" si="17">(G5*F5)+G5</f>
        <v>8772.6527999999998</v>
      </c>
      <c r="H6" s="75">
        <f t="shared" si="8"/>
        <v>19942.387200000001</v>
      </c>
      <c r="I6" s="137">
        <f>'Loan Amortization'!H50+'Loan Amortization 2nd Loan'!H50</f>
        <v>3988.8370527521538</v>
      </c>
      <c r="J6" s="75">
        <f t="shared" ref="J6:J33" si="18">I6+J5</f>
        <v>11195.524747188556</v>
      </c>
      <c r="K6" s="78">
        <f>H6-'Analysis Worksheet'!G25</f>
        <v>-6382.6481938121578</v>
      </c>
      <c r="L6" s="75">
        <f t="shared" ref="L6:L34" si="19">P5</f>
        <v>432640</v>
      </c>
      <c r="M6" s="96">
        <f>'Analysis Worksheet'!C65</f>
        <v>0.04</v>
      </c>
      <c r="N6" s="137">
        <f t="shared" si="9"/>
        <v>17305.600000000035</v>
      </c>
      <c r="O6" s="75">
        <f t="shared" ref="O6:O33" si="20">N6+O5</f>
        <v>49945.600000000035</v>
      </c>
      <c r="P6" s="78">
        <f t="shared" si="1"/>
        <v>449945.60000000003</v>
      </c>
      <c r="Q6" s="75">
        <f t="shared" si="10"/>
        <v>35995.648000000001</v>
      </c>
      <c r="R6" s="78">
        <f>'Loan Amortization'!G50</f>
        <v>303335.75632034137</v>
      </c>
      <c r="S6" s="78">
        <f>'Loan Amortization 2nd Loan'!G50</f>
        <v>19068.718932469816</v>
      </c>
      <c r="T6" s="75">
        <f t="shared" si="11"/>
        <v>127541.12474718885</v>
      </c>
      <c r="U6" s="75">
        <f t="shared" si="12"/>
        <v>-20313.358981436475</v>
      </c>
      <c r="V6" s="75">
        <f>'Analysis Worksheet'!F15</f>
        <v>64280</v>
      </c>
      <c r="W6" s="75">
        <f t="shared" ref="W6:W33" si="21">I6+N6+K6</f>
        <v>14911.788858940032</v>
      </c>
      <c r="X6" s="89">
        <f>H6/'Analysis Worksheet'!F6</f>
        <v>4.9855968000000001E-2</v>
      </c>
      <c r="Y6" s="89">
        <f t="shared" si="13"/>
        <v>0.23198178063067879</v>
      </c>
      <c r="Z6" s="89">
        <f t="shared" si="2"/>
        <v>-9.929446474505535E-2</v>
      </c>
      <c r="AA6" s="81">
        <f t="shared" si="14"/>
        <v>0.11691749534511381</v>
      </c>
      <c r="AB6" s="82">
        <f t="shared" si="3"/>
        <v>40827.765765752112</v>
      </c>
      <c r="AC6" s="77">
        <f t="shared" si="4"/>
        <v>0.63515503680385987</v>
      </c>
      <c r="AD6" s="75">
        <f t="shared" si="5"/>
        <v>4832.1177657521112</v>
      </c>
      <c r="AE6" s="107">
        <f t="shared" si="6"/>
        <v>7.5172958396890338E-2</v>
      </c>
      <c r="AF6" s="101"/>
      <c r="AG6" s="102"/>
      <c r="AH6" s="102" t="s">
        <v>126</v>
      </c>
      <c r="AI6" s="123">
        <f>AI5*0.08</f>
        <v>33280</v>
      </c>
      <c r="AJ6" s="105">
        <f>K5</f>
        <v>-6773.6753938121583</v>
      </c>
      <c r="AK6" s="102" t="s">
        <v>127</v>
      </c>
      <c r="AL6" s="102" t="s">
        <v>126</v>
      </c>
      <c r="AM6" s="123">
        <f>Q9</f>
        <v>40490.208591872004</v>
      </c>
      <c r="AN6" s="133">
        <f t="shared" si="15"/>
        <v>-6773.6753938121583</v>
      </c>
      <c r="AO6" s="102" t="s">
        <v>127</v>
      </c>
      <c r="AP6" s="102" t="s">
        <v>126</v>
      </c>
      <c r="AQ6" s="123">
        <f>Q14</f>
        <v>49262.529802082507</v>
      </c>
      <c r="AR6" s="105">
        <f t="shared" si="16"/>
        <v>-6773.6753938121583</v>
      </c>
      <c r="AS6" s="102" t="s">
        <v>127</v>
      </c>
      <c r="AT6" s="102" t="s">
        <v>126</v>
      </c>
      <c r="AU6" s="103">
        <f>Q18</f>
        <v>57630.192176221339</v>
      </c>
      <c r="AV6" s="144"/>
    </row>
    <row r="7" spans="1:48" ht="15.6">
      <c r="A7" s="74">
        <v>4</v>
      </c>
      <c r="B7" s="76">
        <f>'Analysis Worksheet'!C64</f>
        <v>0.02</v>
      </c>
      <c r="C7" s="75">
        <f t="shared" si="7"/>
        <v>29289.340800000002</v>
      </c>
      <c r="D7" s="77">
        <f>'Analysis Worksheet'!C34</f>
        <v>0</v>
      </c>
      <c r="E7" s="78">
        <f t="shared" si="0"/>
        <v>29289.340800000002</v>
      </c>
      <c r="F7" s="96">
        <f>'Analysis Worksheet'!C63</f>
        <v>0.02</v>
      </c>
      <c r="G7" s="87">
        <f t="shared" si="17"/>
        <v>8948.1058560000001</v>
      </c>
      <c r="H7" s="75">
        <f t="shared" si="8"/>
        <v>20341.234944000003</v>
      </c>
      <c r="I7" s="137">
        <f>'Loan Amortization'!H62+'Loan Amortization 2nd Loan'!H62</f>
        <v>4270.3018061895191</v>
      </c>
      <c r="J7" s="75">
        <f t="shared" si="18"/>
        <v>15465.826553378076</v>
      </c>
      <c r="K7" s="78">
        <f>H7-'Analysis Worksheet'!G25</f>
        <v>-5983.8004498121554</v>
      </c>
      <c r="L7" s="75">
        <f t="shared" si="19"/>
        <v>449945.60000000003</v>
      </c>
      <c r="M7" s="96">
        <f>'Analysis Worksheet'!C65</f>
        <v>0.04</v>
      </c>
      <c r="N7" s="137">
        <f t="shared" si="9"/>
        <v>17997.824000000022</v>
      </c>
      <c r="O7" s="75">
        <f t="shared" si="20"/>
        <v>67943.424000000057</v>
      </c>
      <c r="P7" s="78">
        <f t="shared" si="1"/>
        <v>467943.42400000006</v>
      </c>
      <c r="Q7" s="75">
        <f t="shared" si="10"/>
        <v>37435.473920000004</v>
      </c>
      <c r="R7" s="78">
        <f>'Loan Amortization'!G62</f>
        <v>299408.17369014147</v>
      </c>
      <c r="S7" s="78">
        <f>'Loan Amortization 2nd Loan'!G62</f>
        <v>18725.999756480145</v>
      </c>
      <c r="T7" s="75">
        <f t="shared" si="11"/>
        <v>149809.25055337843</v>
      </c>
      <c r="U7" s="75">
        <f t="shared" si="12"/>
        <v>-26297.15943124863</v>
      </c>
      <c r="V7" s="75">
        <f>'Analysis Worksheet'!F15</f>
        <v>64280</v>
      </c>
      <c r="W7" s="75">
        <f t="shared" si="21"/>
        <v>16284.325356377387</v>
      </c>
      <c r="X7" s="89">
        <f>H7/'Analysis Worksheet'!F6</f>
        <v>5.0853087360000007E-2</v>
      </c>
      <c r="Y7" s="89">
        <f t="shared" si="13"/>
        <v>0.25333424636554741</v>
      </c>
      <c r="Z7" s="89">
        <f t="shared" si="2"/>
        <v>-9.3089614962852452E-2</v>
      </c>
      <c r="AA7" s="81">
        <f t="shared" si="14"/>
        <v>0.10870039931596301</v>
      </c>
      <c r="AB7" s="82">
        <f t="shared" si="3"/>
        <v>57112.09112212951</v>
      </c>
      <c r="AC7" s="77">
        <f t="shared" si="4"/>
        <v>0.88848928316940745</v>
      </c>
      <c r="AD7" s="75">
        <f t="shared" si="5"/>
        <v>19676.617202129506</v>
      </c>
      <c r="AE7" s="107">
        <f t="shared" si="6"/>
        <v>0.30610792162615907</v>
      </c>
      <c r="AF7" s="101"/>
      <c r="AG7" s="102"/>
      <c r="AH7" s="102" t="s">
        <v>128</v>
      </c>
      <c r="AI7" s="123">
        <f>AI5-AI6-R4-S4</f>
        <v>52600.652693782889</v>
      </c>
      <c r="AJ7" s="105">
        <f>K6</f>
        <v>-6382.6481938121578</v>
      </c>
      <c r="AK7" s="102" t="s">
        <v>129</v>
      </c>
      <c r="AL7" s="102" t="s">
        <v>128</v>
      </c>
      <c r="AM7" s="123">
        <f>AM5-AM6-R8-S8</f>
        <v>132608.54015708671</v>
      </c>
      <c r="AN7" s="133">
        <f t="shared" si="15"/>
        <v>-6382.6481938121578</v>
      </c>
      <c r="AO7" s="102" t="s">
        <v>129</v>
      </c>
      <c r="AP7" s="102" t="s">
        <v>128</v>
      </c>
      <c r="AQ7" s="123">
        <f>AQ5-AQ6-R13-S13</f>
        <v>257459.13690431809</v>
      </c>
      <c r="AR7" s="105">
        <f t="shared" si="16"/>
        <v>-6382.6481938121578</v>
      </c>
      <c r="AS7" s="102" t="s">
        <v>129</v>
      </c>
      <c r="AT7" s="102" t="s">
        <v>128</v>
      </c>
      <c r="AU7" s="103">
        <f>AU5-AU6-R18-S18</f>
        <v>417047.26389458176</v>
      </c>
      <c r="AV7" s="144"/>
    </row>
    <row r="8" spans="1:48" s="91" customFormat="1" ht="15.6">
      <c r="A8" s="85">
        <v>5</v>
      </c>
      <c r="B8" s="76">
        <f>'Analysis Worksheet'!C64</f>
        <v>0.02</v>
      </c>
      <c r="C8" s="78">
        <f t="shared" si="7"/>
        <v>29875.127616000002</v>
      </c>
      <c r="D8" s="77">
        <f>'Analysis Worksheet'!C34</f>
        <v>0</v>
      </c>
      <c r="E8" s="78">
        <f t="shared" si="0"/>
        <v>29875.127616000002</v>
      </c>
      <c r="F8" s="96">
        <f>'Analysis Worksheet'!C63</f>
        <v>0.02</v>
      </c>
      <c r="G8" s="87">
        <f t="shared" si="17"/>
        <v>9127.0679731199998</v>
      </c>
      <c r="H8" s="78">
        <f t="shared" si="8"/>
        <v>20748.059642880002</v>
      </c>
      <c r="I8" s="137">
        <f>'Loan Amortization'!H74+'Loan Amortization 2nd Loan'!H74</f>
        <v>4571.7612355803085</v>
      </c>
      <c r="J8" s="78">
        <f t="shared" si="18"/>
        <v>20037.587788958386</v>
      </c>
      <c r="K8" s="78">
        <f>H8-'Analysis Worksheet'!G25</f>
        <v>-5576.9757509321571</v>
      </c>
      <c r="L8" s="78">
        <f t="shared" si="19"/>
        <v>467943.42400000006</v>
      </c>
      <c r="M8" s="96">
        <f>'Analysis Worksheet'!C65</f>
        <v>0.04</v>
      </c>
      <c r="N8" s="78">
        <f t="shared" si="9"/>
        <v>18717.736960000009</v>
      </c>
      <c r="O8" s="78">
        <f t="shared" si="20"/>
        <v>86661.160960000067</v>
      </c>
      <c r="P8" s="78">
        <f t="shared" si="1"/>
        <v>486661.16096000007</v>
      </c>
      <c r="Q8" s="78">
        <f t="shared" si="10"/>
        <v>38932.892876800004</v>
      </c>
      <c r="R8" s="78">
        <f>'Loan Amortization'!G74</f>
        <v>295196.66579403495</v>
      </c>
      <c r="S8" s="78">
        <f>'Loan Amortization 2nd Loan'!G74</f>
        <v>18365.746417006383</v>
      </c>
      <c r="T8" s="75">
        <f t="shared" si="11"/>
        <v>173098.74874895872</v>
      </c>
      <c r="U8" s="78">
        <f t="shared" si="12"/>
        <v>-31874.135182180788</v>
      </c>
      <c r="V8" s="78">
        <f>'Analysis Worksheet'!F15</f>
        <v>64280</v>
      </c>
      <c r="W8" s="78">
        <f t="shared" si="21"/>
        <v>17712.522444648159</v>
      </c>
      <c r="X8" s="99">
        <f>H8/'Analysis Worksheet'!F6</f>
        <v>5.1870149107200003E-2</v>
      </c>
      <c r="Y8" s="89">
        <f t="shared" si="13"/>
        <v>0.27555262048301432</v>
      </c>
      <c r="Z8" s="89">
        <f t="shared" si="2"/>
        <v>-8.6760668185005552E-2</v>
      </c>
      <c r="AA8" s="89">
        <f t="shared" si="14"/>
        <v>0.10232611484867657</v>
      </c>
      <c r="AB8" s="90">
        <f t="shared" si="3"/>
        <v>74824.613566777669</v>
      </c>
      <c r="AC8" s="88">
        <f t="shared" si="4"/>
        <v>1.1640419036524217</v>
      </c>
      <c r="AD8" s="78">
        <f t="shared" si="5"/>
        <v>35891.720689977665</v>
      </c>
      <c r="AE8" s="108">
        <f t="shared" si="6"/>
        <v>0.55836528764744342</v>
      </c>
      <c r="AF8" s="101"/>
      <c r="AG8" s="102"/>
      <c r="AH8" s="102"/>
      <c r="AI8" s="102"/>
      <c r="AJ8" s="105">
        <f>K7</f>
        <v>-5983.8004498121554</v>
      </c>
      <c r="AK8" s="102" t="s">
        <v>130</v>
      </c>
      <c r="AL8" s="102"/>
      <c r="AM8" s="102"/>
      <c r="AN8" s="133">
        <f t="shared" si="15"/>
        <v>-5983.8004498121554</v>
      </c>
      <c r="AO8" s="102" t="s">
        <v>130</v>
      </c>
      <c r="AP8" s="102"/>
      <c r="AQ8" s="102"/>
      <c r="AR8" s="105">
        <f t="shared" si="16"/>
        <v>-5983.8004498121554</v>
      </c>
      <c r="AS8" s="102" t="s">
        <v>130</v>
      </c>
      <c r="AT8" s="102"/>
      <c r="AU8" s="104"/>
      <c r="AV8" s="145"/>
    </row>
    <row r="9" spans="1:48" ht="15.6">
      <c r="A9" s="74">
        <v>6</v>
      </c>
      <c r="B9" s="76">
        <f>'Analysis Worksheet'!C64</f>
        <v>0.02</v>
      </c>
      <c r="C9" s="75">
        <f t="shared" si="7"/>
        <v>30472.63016832</v>
      </c>
      <c r="D9" s="77">
        <f>'Analysis Worksheet'!C34</f>
        <v>0</v>
      </c>
      <c r="E9" s="78">
        <f t="shared" si="0"/>
        <v>30472.63016832</v>
      </c>
      <c r="F9" s="96">
        <f>'Analysis Worksheet'!C63</f>
        <v>0.02</v>
      </c>
      <c r="G9" s="87">
        <f t="shared" si="17"/>
        <v>9309.6093325824004</v>
      </c>
      <c r="H9" s="75">
        <f t="shared" si="8"/>
        <v>21163.0208357376</v>
      </c>
      <c r="I9" s="137">
        <f>'Loan Amortization'!H86+'Loan Amortization 2nd Loan'!H86</f>
        <v>4894.6427264822305</v>
      </c>
      <c r="J9" s="75">
        <f t="shared" si="18"/>
        <v>24932.230515440617</v>
      </c>
      <c r="K9" s="78">
        <f>H9-'Analysis Worksheet'!G25</f>
        <v>-5162.0145580745593</v>
      </c>
      <c r="L9" s="79">
        <f t="shared" si="19"/>
        <v>486661.16096000007</v>
      </c>
      <c r="M9" s="96">
        <f>'Analysis Worksheet'!C65</f>
        <v>0.04</v>
      </c>
      <c r="N9" s="137">
        <f t="shared" si="9"/>
        <v>19466.446438400017</v>
      </c>
      <c r="O9" s="75">
        <f t="shared" si="20"/>
        <v>106127.60739840008</v>
      </c>
      <c r="P9" s="78">
        <f t="shared" si="1"/>
        <v>506127.60739840008</v>
      </c>
      <c r="Q9" s="75">
        <f t="shared" si="10"/>
        <v>40490.208591872004</v>
      </c>
      <c r="R9" s="78">
        <f>'Loan Amortization'!G86</f>
        <v>290680.70765159233</v>
      </c>
      <c r="S9" s="78">
        <f>'Loan Amortization 2nd Loan'!G86</f>
        <v>17987.061832966905</v>
      </c>
      <c r="T9" s="75">
        <f t="shared" si="11"/>
        <v>197459.83791384086</v>
      </c>
      <c r="U9" s="75">
        <f t="shared" si="12"/>
        <v>-37036.14974025535</v>
      </c>
      <c r="V9" s="75">
        <f>'Analysis Worksheet'!F15</f>
        <v>64280</v>
      </c>
      <c r="W9" s="75">
        <f t="shared" si="21"/>
        <v>19199.074606807688</v>
      </c>
      <c r="X9" s="89">
        <f>H9/'Analysis Worksheet'!F6</f>
        <v>5.2907552089344001E-2</v>
      </c>
      <c r="Y9" s="89">
        <f t="shared" si="13"/>
        <v>0.29867882088997649</v>
      </c>
      <c r="Z9" s="89">
        <f t="shared" si="2"/>
        <v>-8.0305142471601726E-2</v>
      </c>
      <c r="AA9" s="81">
        <f t="shared" si="14"/>
        <v>9.7230276341991953E-2</v>
      </c>
      <c r="AB9" s="82">
        <f t="shared" si="3"/>
        <v>94023.688173585353</v>
      </c>
      <c r="AC9" s="77">
        <f t="shared" si="4"/>
        <v>1.4627207245423981</v>
      </c>
      <c r="AD9" s="75">
        <f t="shared" si="5"/>
        <v>53533.479581713349</v>
      </c>
      <c r="AE9" s="107">
        <f t="shared" si="6"/>
        <v>0.83281704389722078</v>
      </c>
      <c r="AF9" s="101"/>
      <c r="AG9" s="102"/>
      <c r="AH9" s="146"/>
      <c r="AI9" s="146"/>
      <c r="AJ9" s="105">
        <f>K8+AM7</f>
        <v>127031.56440615456</v>
      </c>
      <c r="AK9" s="102" t="s">
        <v>131</v>
      </c>
      <c r="AL9" s="146"/>
      <c r="AM9" s="146"/>
      <c r="AN9" s="133">
        <f t="shared" si="15"/>
        <v>-5576.9757509321571</v>
      </c>
      <c r="AO9" s="102" t="s">
        <v>132</v>
      </c>
      <c r="AP9" s="146"/>
      <c r="AQ9" s="146"/>
      <c r="AR9" s="105">
        <f t="shared" si="16"/>
        <v>-5576.9757509321571</v>
      </c>
      <c r="AS9" s="102" t="s">
        <v>132</v>
      </c>
      <c r="AT9" s="146"/>
      <c r="AU9" s="147"/>
      <c r="AV9" s="144"/>
    </row>
    <row r="10" spans="1:48" ht="15.6">
      <c r="A10" s="74">
        <v>7</v>
      </c>
      <c r="B10" s="76">
        <f>'Analysis Worksheet'!C64</f>
        <v>0.02</v>
      </c>
      <c r="C10" s="75">
        <f t="shared" si="7"/>
        <v>31082.082771686401</v>
      </c>
      <c r="D10" s="77">
        <f>'Analysis Worksheet'!C34</f>
        <v>0</v>
      </c>
      <c r="E10" s="78">
        <f t="shared" si="0"/>
        <v>31082.082771686401</v>
      </c>
      <c r="F10" s="96">
        <f>'Analysis Worksheet'!C63</f>
        <v>0.02</v>
      </c>
      <c r="G10" s="87">
        <f t="shared" si="17"/>
        <v>9495.8015192340481</v>
      </c>
      <c r="H10" s="75">
        <f t="shared" si="8"/>
        <v>21586.281252452354</v>
      </c>
      <c r="I10" s="137">
        <f>'Loan Amortization'!H98+'Loan Amortization 2nd Loan'!H98</f>
        <v>5240.4759277607991</v>
      </c>
      <c r="J10" s="75">
        <f t="shared" si="18"/>
        <v>30172.706443201416</v>
      </c>
      <c r="K10" s="78">
        <f>H10-'Analysis Worksheet'!G25</f>
        <v>-4738.7541413598046</v>
      </c>
      <c r="L10" s="75">
        <f t="shared" si="19"/>
        <v>506127.60739840008</v>
      </c>
      <c r="M10" s="96">
        <f>'Analysis Worksheet'!C65</f>
        <v>0.04</v>
      </c>
      <c r="N10" s="137">
        <f t="shared" si="9"/>
        <v>20245.104295936064</v>
      </c>
      <c r="O10" s="75">
        <f t="shared" si="20"/>
        <v>126372.71169433615</v>
      </c>
      <c r="P10" s="78">
        <f t="shared" si="1"/>
        <v>526372.71169433615</v>
      </c>
      <c r="Q10" s="75">
        <f t="shared" si="10"/>
        <v>42109.816935546893</v>
      </c>
      <c r="R10" s="78">
        <f>'Loan Amortization'!G98</f>
        <v>285838.290529889</v>
      </c>
      <c r="S10" s="78">
        <f>'Loan Amortization 2nd Loan'!G98</f>
        <v>17589.003026909413</v>
      </c>
      <c r="T10" s="75">
        <f t="shared" si="11"/>
        <v>222945.41813753772</v>
      </c>
      <c r="U10" s="75">
        <f t="shared" si="12"/>
        <v>-41774.903881615159</v>
      </c>
      <c r="V10" s="75">
        <f>'Analysis Worksheet'!F15</f>
        <v>64280</v>
      </c>
      <c r="W10" s="75">
        <f t="shared" si="21"/>
        <v>20746.826082337058</v>
      </c>
      <c r="X10" s="89">
        <f>H10/'Analysis Worksheet'!F6</f>
        <v>5.3965703131130888E-2</v>
      </c>
      <c r="Y10" s="89">
        <f t="shared" si="13"/>
        <v>0.32275709524482044</v>
      </c>
      <c r="Z10" s="89">
        <f t="shared" si="2"/>
        <v>-7.3720506243929756E-2</v>
      </c>
      <c r="AA10" s="81">
        <f t="shared" si="14"/>
        <v>9.3057871543868603E-2</v>
      </c>
      <c r="AB10" s="82">
        <f t="shared" si="3"/>
        <v>114770.51425592239</v>
      </c>
      <c r="AC10" s="77">
        <f t="shared" si="4"/>
        <v>1.7854778197872183</v>
      </c>
      <c r="AD10" s="75">
        <f t="shared" si="5"/>
        <v>72660.697320375504</v>
      </c>
      <c r="AE10" s="107">
        <f t="shared" si="6"/>
        <v>1.1303779919162338</v>
      </c>
      <c r="AF10" s="112"/>
      <c r="AG10" s="102"/>
      <c r="AH10" s="102"/>
      <c r="AI10" s="102"/>
      <c r="AJ10" s="84"/>
      <c r="AK10" s="102"/>
      <c r="AL10" s="102"/>
      <c r="AM10" s="102"/>
      <c r="AN10" s="133">
        <f t="shared" si="15"/>
        <v>-5162.0145580745593</v>
      </c>
      <c r="AO10" s="102" t="s">
        <v>133</v>
      </c>
      <c r="AP10" s="102"/>
      <c r="AQ10" s="102"/>
      <c r="AR10" s="105">
        <f t="shared" si="16"/>
        <v>-5162.0145580745593</v>
      </c>
      <c r="AS10" s="102" t="s">
        <v>133</v>
      </c>
      <c r="AT10" s="102"/>
      <c r="AU10" s="104"/>
      <c r="AV10" s="144"/>
    </row>
    <row r="11" spans="1:48" ht="15.6">
      <c r="A11" s="74">
        <v>8</v>
      </c>
      <c r="B11" s="76">
        <f>'Analysis Worksheet'!C64</f>
        <v>0.02</v>
      </c>
      <c r="C11" s="75">
        <f t="shared" si="7"/>
        <v>31703.724427120127</v>
      </c>
      <c r="D11" s="77">
        <f>'Analysis Worksheet'!C34</f>
        <v>0</v>
      </c>
      <c r="E11" s="78">
        <f t="shared" si="0"/>
        <v>31703.724427120127</v>
      </c>
      <c r="F11" s="96">
        <f>'Analysis Worksheet'!C63</f>
        <v>0.02</v>
      </c>
      <c r="G11" s="87">
        <f t="shared" si="17"/>
        <v>9685.7175496187283</v>
      </c>
      <c r="H11" s="75">
        <f t="shared" si="8"/>
        <v>22018.006877501401</v>
      </c>
      <c r="I11" s="137">
        <f>'Loan Amortization'!H110+'Loan Amortization 2nd Loan'!H110</f>
        <v>5610.9000970147954</v>
      </c>
      <c r="J11" s="75">
        <f t="shared" si="18"/>
        <v>35783.606540216213</v>
      </c>
      <c r="K11" s="78">
        <f>H11-'Analysis Worksheet'!G25</f>
        <v>-4307.0285163107583</v>
      </c>
      <c r="L11" s="75">
        <f t="shared" si="19"/>
        <v>526372.71169433615</v>
      </c>
      <c r="M11" s="96">
        <f>'Analysis Worksheet'!C65</f>
        <v>0.04</v>
      </c>
      <c r="N11" s="137">
        <f t="shared" si="9"/>
        <v>21054.908467773465</v>
      </c>
      <c r="O11" s="75">
        <f t="shared" si="20"/>
        <v>147427.62016210961</v>
      </c>
      <c r="P11" s="78">
        <f t="shared" si="1"/>
        <v>547427.62016210961</v>
      </c>
      <c r="Q11" s="75">
        <f t="shared" si="10"/>
        <v>43794.209612968771</v>
      </c>
      <c r="R11" s="78">
        <f>'Loan Amortization'!G110</f>
        <v>280645.81468291808</v>
      </c>
      <c r="S11" s="78">
        <f>'Loan Amortization 2nd Loan'!G110</f>
        <v>17170.578776865485</v>
      </c>
      <c r="T11" s="75">
        <f t="shared" si="11"/>
        <v>249611.22670232604</v>
      </c>
      <c r="U11" s="75">
        <f t="shared" si="12"/>
        <v>-46081.932397925921</v>
      </c>
      <c r="V11" s="75">
        <f>'Analysis Worksheet'!F15</f>
        <v>64280</v>
      </c>
      <c r="W11" s="75">
        <f t="shared" si="21"/>
        <v>22358.780048477503</v>
      </c>
      <c r="X11" s="89">
        <f>H11/'Analysis Worksheet'!F6</f>
        <v>5.5045017193753501E-2</v>
      </c>
      <c r="Y11" s="89">
        <f t="shared" si="13"/>
        <v>0.34783416379087589</v>
      </c>
      <c r="Z11" s="89">
        <f t="shared" si="2"/>
        <v>-6.7004177291704395E-2</v>
      </c>
      <c r="AA11" s="81">
        <f t="shared" si="14"/>
        <v>8.9574416759473224E-2</v>
      </c>
      <c r="AB11" s="82">
        <f t="shared" si="3"/>
        <v>137129.29430439993</v>
      </c>
      <c r="AC11" s="77">
        <f t="shared" si="4"/>
        <v>2.1333119835780945</v>
      </c>
      <c r="AD11" s="75">
        <f t="shared" si="5"/>
        <v>93335.084691431155</v>
      </c>
      <c r="AE11" s="107">
        <f t="shared" si="6"/>
        <v>1.4520081625922707</v>
      </c>
      <c r="AF11" s="124"/>
      <c r="AG11" s="126"/>
      <c r="AH11" s="126"/>
      <c r="AI11" s="126"/>
      <c r="AJ11" s="84"/>
      <c r="AK11" s="102"/>
      <c r="AL11" s="102"/>
      <c r="AM11" s="102"/>
      <c r="AN11" s="133">
        <f t="shared" si="15"/>
        <v>-4738.7541413598046</v>
      </c>
      <c r="AO11" s="102" t="s">
        <v>134</v>
      </c>
      <c r="AP11" s="102"/>
      <c r="AQ11" s="102"/>
      <c r="AR11" s="105">
        <f t="shared" si="16"/>
        <v>-4738.7541413598046</v>
      </c>
      <c r="AS11" s="102" t="s">
        <v>134</v>
      </c>
      <c r="AT11" s="102"/>
      <c r="AU11" s="104"/>
      <c r="AV11" s="144"/>
    </row>
    <row r="12" spans="1:48" ht="15.6">
      <c r="A12" s="74">
        <v>9</v>
      </c>
      <c r="B12" s="76">
        <f>'Analysis Worksheet'!C64</f>
        <v>0.02</v>
      </c>
      <c r="C12" s="75">
        <f t="shared" si="7"/>
        <v>32337.79891566253</v>
      </c>
      <c r="D12" s="77">
        <f>'Analysis Worksheet'!C34</f>
        <v>0</v>
      </c>
      <c r="E12" s="78">
        <f t="shared" si="0"/>
        <v>32337.79891566253</v>
      </c>
      <c r="F12" s="96">
        <f>'Analysis Worksheet'!C63</f>
        <v>0.02</v>
      </c>
      <c r="G12" s="87">
        <f t="shared" si="17"/>
        <v>9879.4319006111036</v>
      </c>
      <c r="H12" s="75">
        <f t="shared" si="8"/>
        <v>22458.367015051426</v>
      </c>
      <c r="I12" s="137">
        <f>'Loan Amortization'!H122+'Loan Amortization 2nd Loan'!H122</f>
        <v>6007.6719745883574</v>
      </c>
      <c r="J12" s="75">
        <f t="shared" si="18"/>
        <v>41791.278514804573</v>
      </c>
      <c r="K12" s="78">
        <f>H12-'Analysis Worksheet'!G25</f>
        <v>-3866.6683787607326</v>
      </c>
      <c r="L12" s="75">
        <f t="shared" si="19"/>
        <v>547427.62016210961</v>
      </c>
      <c r="M12" s="96">
        <f>'Analysis Worksheet'!C65</f>
        <v>0.04</v>
      </c>
      <c r="N12" s="137">
        <f t="shared" si="9"/>
        <v>21897.104806484422</v>
      </c>
      <c r="O12" s="75">
        <f t="shared" si="20"/>
        <v>169324.72496859403</v>
      </c>
      <c r="P12" s="78">
        <f t="shared" si="1"/>
        <v>569324.72496859403</v>
      </c>
      <c r="Q12" s="75">
        <f t="shared" si="10"/>
        <v>45545.97799748752</v>
      </c>
      <c r="R12" s="78">
        <f>'Loan Amortization'!G122</f>
        <v>275077.97433712566</v>
      </c>
      <c r="S12" s="78">
        <f>'Loan Amortization 2nd Loan'!G122</f>
        <v>16730.747148069575</v>
      </c>
      <c r="T12" s="75">
        <f t="shared" si="11"/>
        <v>277516.00348339882</v>
      </c>
      <c r="U12" s="75">
        <f t="shared" si="12"/>
        <v>-49948.600776686653</v>
      </c>
      <c r="V12" s="75">
        <f>'Analysis Worksheet'!F15</f>
        <v>64280</v>
      </c>
      <c r="W12" s="75">
        <f t="shared" si="21"/>
        <v>24038.108402312046</v>
      </c>
      <c r="X12" s="89">
        <f>H12/'Analysis Worksheet'!F6</f>
        <v>5.6145917537628563E-2</v>
      </c>
      <c r="Y12" s="89">
        <f t="shared" si="13"/>
        <v>0.37395937153565723</v>
      </c>
      <c r="Z12" s="89">
        <f t="shared" si="2"/>
        <v>-6.0153521760434543E-2</v>
      </c>
      <c r="AA12" s="81">
        <f t="shared" si="14"/>
        <v>8.6618818736880598E-2</v>
      </c>
      <c r="AB12" s="82">
        <f t="shared" si="3"/>
        <v>161167.40270671196</v>
      </c>
      <c r="AC12" s="77">
        <f t="shared" si="4"/>
        <v>2.5072713551137515</v>
      </c>
      <c r="AD12" s="75">
        <f t="shared" si="5"/>
        <v>115621.42470922443</v>
      </c>
      <c r="AE12" s="107">
        <f t="shared" si="6"/>
        <v>1.7987153812884946</v>
      </c>
      <c r="AF12" s="124"/>
      <c r="AG12" s="126"/>
      <c r="AH12" s="126"/>
      <c r="AI12" s="126"/>
      <c r="AJ12" s="84"/>
      <c r="AK12" s="102"/>
      <c r="AL12" s="102"/>
      <c r="AM12" s="102"/>
      <c r="AN12" s="133">
        <f t="shared" si="15"/>
        <v>-4307.0285163107583</v>
      </c>
      <c r="AO12" s="102" t="s">
        <v>135</v>
      </c>
      <c r="AP12" s="102"/>
      <c r="AQ12" s="102"/>
      <c r="AR12" s="105">
        <f t="shared" si="16"/>
        <v>-4307.0285163107583</v>
      </c>
      <c r="AS12" s="102" t="s">
        <v>135</v>
      </c>
      <c r="AT12" s="102"/>
      <c r="AU12" s="104"/>
      <c r="AV12" s="144"/>
    </row>
    <row r="13" spans="1:48" s="91" customFormat="1" ht="15.6">
      <c r="A13" s="85">
        <v>10</v>
      </c>
      <c r="B13" s="76">
        <f>'Analysis Worksheet'!C64</f>
        <v>0.02</v>
      </c>
      <c r="C13" s="78">
        <f t="shared" si="7"/>
        <v>32984.554893975779</v>
      </c>
      <c r="D13" s="77">
        <f>'Analysis Worksheet'!C34</f>
        <v>0</v>
      </c>
      <c r="E13" s="78">
        <f t="shared" si="0"/>
        <v>32984.554893975779</v>
      </c>
      <c r="F13" s="96">
        <f>'Analysis Worksheet'!C63</f>
        <v>0.02</v>
      </c>
      <c r="G13" s="87">
        <f t="shared" si="17"/>
        <v>10077.020538623327</v>
      </c>
      <c r="H13" s="78">
        <f t="shared" si="8"/>
        <v>22907.534355352451</v>
      </c>
      <c r="I13" s="78">
        <f>'Loan Amortization'!H134+'Loan Amortization 2nd Loan'!H134</f>
        <v>6432.6742242579185</v>
      </c>
      <c r="J13" s="78">
        <f t="shared" si="18"/>
        <v>48223.952739062493</v>
      </c>
      <c r="K13" s="78">
        <f>H13-'Analysis Worksheet'!G25</f>
        <v>-3417.5010384597081</v>
      </c>
      <c r="L13" s="78">
        <f t="shared" si="19"/>
        <v>569324.72496859403</v>
      </c>
      <c r="M13" s="96">
        <f>'Analysis Worksheet'!C65</f>
        <v>0.04</v>
      </c>
      <c r="N13" s="78">
        <f t="shared" si="9"/>
        <v>22772.988998743822</v>
      </c>
      <c r="O13" s="78">
        <f t="shared" si="20"/>
        <v>192097.71396733786</v>
      </c>
      <c r="P13" s="78">
        <f t="shared" si="1"/>
        <v>592097.71396733786</v>
      </c>
      <c r="Q13" s="78">
        <f t="shared" si="10"/>
        <v>47367.817117387029</v>
      </c>
      <c r="R13" s="78">
        <f>'Loan Amortization'!G134</f>
        <v>269107.63436254126</v>
      </c>
      <c r="S13" s="78">
        <f>'Loan Amortization 2nd Loan'!G134</f>
        <v>16268.412898396047</v>
      </c>
      <c r="T13" s="75">
        <f t="shared" si="11"/>
        <v>306721.66670640057</v>
      </c>
      <c r="U13" s="78">
        <f t="shared" si="12"/>
        <v>-53366.101815146365</v>
      </c>
      <c r="V13" s="78">
        <f>'Analysis Worksheet'!F15</f>
        <v>64280</v>
      </c>
      <c r="W13" s="78">
        <f t="shared" si="21"/>
        <v>25788.162184542034</v>
      </c>
      <c r="X13" s="89">
        <f>H13/'Analysis Worksheet'!F6</f>
        <v>5.726883588838113E-2</v>
      </c>
      <c r="Y13" s="89">
        <f t="shared" si="13"/>
        <v>0.4011848504129128</v>
      </c>
      <c r="Z13" s="89">
        <f t="shared" si="2"/>
        <v>-5.316585311853933E-2</v>
      </c>
      <c r="AA13" s="89">
        <f t="shared" si="14"/>
        <v>8.4076754216476396E-2</v>
      </c>
      <c r="AB13" s="90">
        <f t="shared" si="3"/>
        <v>186955.56489125398</v>
      </c>
      <c r="AC13" s="86">
        <f t="shared" si="4"/>
        <v>2.9084562055266643</v>
      </c>
      <c r="AD13" s="78">
        <f t="shared" si="5"/>
        <v>139587.74777386695</v>
      </c>
      <c r="AE13" s="108">
        <f t="shared" si="6"/>
        <v>2.1715579927483968</v>
      </c>
      <c r="AF13" s="124"/>
      <c r="AG13" s="126"/>
      <c r="AH13" s="126"/>
      <c r="AI13" s="126"/>
      <c r="AJ13" s="84"/>
      <c r="AK13" s="102"/>
      <c r="AL13" s="102"/>
      <c r="AM13" s="102"/>
      <c r="AN13" s="133">
        <f t="shared" si="15"/>
        <v>-3866.6683787607326</v>
      </c>
      <c r="AO13" s="102" t="s">
        <v>136</v>
      </c>
      <c r="AP13" s="102"/>
      <c r="AQ13" s="102"/>
      <c r="AR13" s="105">
        <f t="shared" si="16"/>
        <v>-3866.6683787607326</v>
      </c>
      <c r="AS13" s="102" t="s">
        <v>136</v>
      </c>
      <c r="AT13" s="102"/>
      <c r="AU13" s="104"/>
      <c r="AV13" s="145"/>
    </row>
    <row r="14" spans="1:48" ht="15.6">
      <c r="A14" s="74">
        <v>11</v>
      </c>
      <c r="B14" s="76">
        <f>'Analysis Worksheet'!C64</f>
        <v>0.02</v>
      </c>
      <c r="C14" s="75">
        <f t="shared" si="7"/>
        <v>33644.245991855292</v>
      </c>
      <c r="D14" s="77">
        <f>'Analysis Worksheet'!C34</f>
        <v>0</v>
      </c>
      <c r="E14" s="78">
        <f t="shared" si="0"/>
        <v>33644.245991855292</v>
      </c>
      <c r="F14" s="96">
        <f>'Analysis Worksheet'!C63</f>
        <v>0.02</v>
      </c>
      <c r="G14" s="87">
        <f t="shared" si="17"/>
        <v>10278.560949395793</v>
      </c>
      <c r="H14" s="75">
        <f t="shared" si="8"/>
        <v>23365.6850424595</v>
      </c>
      <c r="I14" s="137">
        <f>'Loan Amortization'!H146+'Loan Amortization 2nd Loan'!H146</f>
        <v>6887.9244814288631</v>
      </c>
      <c r="J14" s="75">
        <f t="shared" si="18"/>
        <v>55111.877220491355</v>
      </c>
      <c r="K14" s="78">
        <f>H14-'Analysis Worksheet'!G25</f>
        <v>-2959.3503513526593</v>
      </c>
      <c r="L14" s="75">
        <f t="shared" si="19"/>
        <v>592097.71396733786</v>
      </c>
      <c r="M14" s="96">
        <f>'Analysis Worksheet'!C65</f>
        <v>0.04</v>
      </c>
      <c r="N14" s="137">
        <f t="shared" si="9"/>
        <v>23683.908558693482</v>
      </c>
      <c r="O14" s="75">
        <f t="shared" si="20"/>
        <v>215781.62252603134</v>
      </c>
      <c r="P14" s="78">
        <f t="shared" si="1"/>
        <v>615781.62252603134</v>
      </c>
      <c r="Q14" s="75">
        <f t="shared" si="10"/>
        <v>49262.529802082507</v>
      </c>
      <c r="R14" s="78">
        <f>'Loan Amortization'!G146</f>
        <v>262705.69802845496</v>
      </c>
      <c r="S14" s="78">
        <f>'Loan Amortization 2nd Loan'!G146</f>
        <v>15782.424751053497</v>
      </c>
      <c r="T14" s="75">
        <f t="shared" si="11"/>
        <v>337293.49974652287</v>
      </c>
      <c r="U14" s="75">
        <f t="shared" si="12"/>
        <v>-56325.452166499024</v>
      </c>
      <c r="V14" s="75">
        <f>'Analysis Worksheet'!F15</f>
        <v>64280</v>
      </c>
      <c r="W14" s="75">
        <f t="shared" si="21"/>
        <v>27612.482688769684</v>
      </c>
      <c r="X14" s="89">
        <f>H14/'Analysis Worksheet'!F6</f>
        <v>5.8414212606148749E-2</v>
      </c>
      <c r="Y14" s="89">
        <f t="shared" si="13"/>
        <v>0.42956569210904921</v>
      </c>
      <c r="Z14" s="89">
        <f t="shared" si="2"/>
        <v>-4.6038431103806149E-2</v>
      </c>
      <c r="AA14" s="81">
        <f t="shared" si="14"/>
        <v>8.1864852745518524E-2</v>
      </c>
      <c r="AB14" s="82">
        <f t="shared" si="3"/>
        <v>214568.04758002367</v>
      </c>
      <c r="AC14" s="77">
        <f t="shared" si="4"/>
        <v>3.3380218976357137</v>
      </c>
      <c r="AD14" s="75">
        <f t="shared" si="5"/>
        <v>165305.51777794116</v>
      </c>
      <c r="AE14" s="107">
        <f t="shared" si="6"/>
        <v>2.5716477563463154</v>
      </c>
      <c r="AF14" s="124"/>
      <c r="AG14" s="126"/>
      <c r="AH14" s="126"/>
      <c r="AI14" s="126"/>
      <c r="AJ14" s="84"/>
      <c r="AK14" s="102"/>
      <c r="AL14" s="102"/>
      <c r="AM14" s="102"/>
      <c r="AN14" s="133">
        <f>K13+AQ7</f>
        <v>254041.63586585838</v>
      </c>
      <c r="AO14" s="102" t="s">
        <v>137</v>
      </c>
      <c r="AP14" s="102"/>
      <c r="AQ14" s="102"/>
      <c r="AR14" s="105">
        <f t="shared" si="16"/>
        <v>-3417.5010384597081</v>
      </c>
      <c r="AS14" s="102" t="s">
        <v>138</v>
      </c>
      <c r="AT14" s="102"/>
      <c r="AU14" s="104"/>
      <c r="AV14" s="144"/>
    </row>
    <row r="15" spans="1:48" ht="15.6">
      <c r="A15" s="74">
        <v>12</v>
      </c>
      <c r="B15" s="76">
        <f>'Analysis Worksheet'!C64</f>
        <v>0.02</v>
      </c>
      <c r="C15" s="75">
        <f t="shared" si="7"/>
        <v>34317.130911692395</v>
      </c>
      <c r="D15" s="77">
        <f>'Analysis Worksheet'!C34</f>
        <v>0</v>
      </c>
      <c r="E15" s="78">
        <f t="shared" si="0"/>
        <v>34317.130911692395</v>
      </c>
      <c r="F15" s="96">
        <f>'Analysis Worksheet'!C63</f>
        <v>0.02</v>
      </c>
      <c r="G15" s="87">
        <f t="shared" si="17"/>
        <v>10484.132168383709</v>
      </c>
      <c r="H15" s="75">
        <f t="shared" si="8"/>
        <v>23832.998743308686</v>
      </c>
      <c r="I15" s="137">
        <f>'Loan Amortization'!H158+'Loan Amortization 2nd Loan'!H158</f>
        <v>7375.5850526225058</v>
      </c>
      <c r="J15" s="75">
        <f t="shared" si="18"/>
        <v>62487.462273113859</v>
      </c>
      <c r="K15" s="78">
        <f>H15-'Analysis Worksheet'!G25</f>
        <v>-2492.0366505034726</v>
      </c>
      <c r="L15" s="75">
        <f t="shared" si="19"/>
        <v>615781.62252603134</v>
      </c>
      <c r="M15" s="96">
        <f>'Analysis Worksheet'!C65</f>
        <v>0.04</v>
      </c>
      <c r="N15" s="137">
        <f t="shared" si="9"/>
        <v>24631.264901041286</v>
      </c>
      <c r="O15" s="75">
        <f t="shared" si="20"/>
        <v>240412.88742707262</v>
      </c>
      <c r="P15" s="78">
        <f t="shared" si="1"/>
        <v>640412.88742707262</v>
      </c>
      <c r="Q15" s="75">
        <f t="shared" si="10"/>
        <v>51233.030994165812</v>
      </c>
      <c r="R15" s="78">
        <f>'Loan Amortization'!G158</f>
        <v>255840.96519914112</v>
      </c>
      <c r="S15" s="78">
        <f>'Loan Amortization 2nd Loan'!G158</f>
        <v>15271.572527744873</v>
      </c>
      <c r="T15" s="75">
        <f t="shared" si="11"/>
        <v>369300.34970018663</v>
      </c>
      <c r="U15" s="75">
        <f t="shared" si="12"/>
        <v>-58817.488817002493</v>
      </c>
      <c r="V15" s="75">
        <f>'Analysis Worksheet'!F15</f>
        <v>64280</v>
      </c>
      <c r="W15" s="75">
        <f t="shared" si="21"/>
        <v>29514.813303160317</v>
      </c>
      <c r="X15" s="89">
        <f>H15/'Analysis Worksheet'!F6</f>
        <v>5.9582496858271716E-2</v>
      </c>
      <c r="Y15" s="89">
        <f t="shared" si="13"/>
        <v>0.45916013228314123</v>
      </c>
      <c r="Z15" s="89">
        <f t="shared" si="2"/>
        <v>-3.8768460648778355E-2</v>
      </c>
      <c r="AA15" s="81">
        <f t="shared" si="14"/>
        <v>7.9920891835390001E-2</v>
      </c>
      <c r="AB15" s="82">
        <f t="shared" si="3"/>
        <v>244082.86088318395</v>
      </c>
      <c r="AC15" s="77">
        <f t="shared" si="4"/>
        <v>3.7971820299188543</v>
      </c>
      <c r="AD15" s="75">
        <f t="shared" si="5"/>
        <v>192849.82988901815</v>
      </c>
      <c r="AE15" s="107">
        <f t="shared" si="6"/>
        <v>3.0001529229778803</v>
      </c>
      <c r="AF15" s="124"/>
      <c r="AG15" s="126"/>
      <c r="AH15" s="126"/>
      <c r="AI15" s="126"/>
      <c r="AJ15" s="84"/>
      <c r="AK15" s="102"/>
      <c r="AL15" s="102"/>
      <c r="AM15" s="102"/>
      <c r="AN15" s="84"/>
      <c r="AO15" s="102"/>
      <c r="AP15" s="102"/>
      <c r="AQ15" s="102"/>
      <c r="AR15" s="105">
        <f t="shared" si="16"/>
        <v>-2959.3503513526593</v>
      </c>
      <c r="AS15" s="102" t="s">
        <v>139</v>
      </c>
      <c r="AT15" s="102"/>
      <c r="AU15" s="104"/>
      <c r="AV15" s="144"/>
    </row>
    <row r="16" spans="1:48" ht="15.6">
      <c r="A16" s="74">
        <v>13</v>
      </c>
      <c r="B16" s="76">
        <f>'Analysis Worksheet'!C64</f>
        <v>0.02</v>
      </c>
      <c r="C16" s="75">
        <f t="shared" si="7"/>
        <v>35003.473529926239</v>
      </c>
      <c r="D16" s="77">
        <f>'Analysis Worksheet'!C34</f>
        <v>0</v>
      </c>
      <c r="E16" s="78">
        <f t="shared" si="0"/>
        <v>35003.473529926239</v>
      </c>
      <c r="F16" s="96">
        <f>'Analysis Worksheet'!C63</f>
        <v>0.02</v>
      </c>
      <c r="G16" s="87">
        <f t="shared" si="17"/>
        <v>10693.814811751383</v>
      </c>
      <c r="H16" s="75">
        <f t="shared" si="8"/>
        <v>24309.658718174855</v>
      </c>
      <c r="I16" s="137">
        <f>'Loan Amortization'!H170+'Loan Amortization 2nd Loan'!H170</f>
        <v>7897.9733131916319</v>
      </c>
      <c r="J16" s="75">
        <f t="shared" si="18"/>
        <v>70385.435586305495</v>
      </c>
      <c r="K16" s="78">
        <f>H16-'Analysis Worksheet'!G25</f>
        <v>-2015.3766756373043</v>
      </c>
      <c r="L16" s="75">
        <f t="shared" si="19"/>
        <v>640412.88742707262</v>
      </c>
      <c r="M16" s="96">
        <f>'Analysis Worksheet'!C65</f>
        <v>0.04</v>
      </c>
      <c r="N16" s="137">
        <f t="shared" si="9"/>
        <v>25616.515497082961</v>
      </c>
      <c r="O16" s="75">
        <f t="shared" si="20"/>
        <v>266029.40292415558</v>
      </c>
      <c r="P16" s="78">
        <f t="shared" si="1"/>
        <v>666029.40292415558</v>
      </c>
      <c r="Q16" s="75">
        <f t="shared" si="10"/>
        <v>53282.352233932448</v>
      </c>
      <c r="R16" s="78">
        <f>'Loan Amortization'!G170</f>
        <v>248479.9802785397</v>
      </c>
      <c r="S16" s="78">
        <f>'Loan Amortization 2nd Loan'!G170</f>
        <v>14734.584135154679</v>
      </c>
      <c r="T16" s="75">
        <f t="shared" si="11"/>
        <v>402814.83851046121</v>
      </c>
      <c r="U16" s="75">
        <f t="shared" si="12"/>
        <v>-60832.865492639801</v>
      </c>
      <c r="V16" s="75">
        <f>'Analysis Worksheet'!F15</f>
        <v>64280</v>
      </c>
      <c r="W16" s="75">
        <f t="shared" si="21"/>
        <v>31499.112134637286</v>
      </c>
      <c r="X16" s="89">
        <f>H16/'Analysis Worksheet'!F6</f>
        <v>6.0774146795437134E-2</v>
      </c>
      <c r="Y16" s="89">
        <f t="shared" si="13"/>
        <v>0.4900297469607543</v>
      </c>
      <c r="Z16" s="89">
        <f t="shared" si="2"/>
        <v>-3.1353090784650033E-2</v>
      </c>
      <c r="AA16" s="81">
        <f t="shared" si="14"/>
        <v>7.8197497021498738E-2</v>
      </c>
      <c r="AB16" s="82">
        <f t="shared" si="3"/>
        <v>275581.97301782132</v>
      </c>
      <c r="AC16" s="77">
        <f t="shared" si="4"/>
        <v>4.2872117768796096</v>
      </c>
      <c r="AD16" s="75">
        <f t="shared" si="5"/>
        <v>222299.62078388888</v>
      </c>
      <c r="AE16" s="107">
        <f t="shared" si="6"/>
        <v>3.4583015056609967</v>
      </c>
      <c r="AF16" s="124"/>
      <c r="AG16" s="126"/>
      <c r="AH16" s="126"/>
      <c r="AI16" s="126"/>
      <c r="AJ16" s="84"/>
      <c r="AK16" s="102"/>
      <c r="AL16" s="102"/>
      <c r="AM16" s="102"/>
      <c r="AN16" s="84"/>
      <c r="AO16" s="102"/>
      <c r="AP16" s="102"/>
      <c r="AQ16" s="102"/>
      <c r="AR16" s="105">
        <f t="shared" si="16"/>
        <v>-2492.0366505034726</v>
      </c>
      <c r="AS16" s="102" t="s">
        <v>140</v>
      </c>
      <c r="AT16" s="102"/>
      <c r="AU16" s="104"/>
      <c r="AV16" s="144"/>
    </row>
    <row r="17" spans="1:48" ht="15.6">
      <c r="A17" s="74">
        <v>14</v>
      </c>
      <c r="B17" s="76">
        <f>'Analysis Worksheet'!C64</f>
        <v>0.02</v>
      </c>
      <c r="C17" s="75">
        <f t="shared" si="7"/>
        <v>35703.543000524762</v>
      </c>
      <c r="D17" s="77">
        <f>'Analysis Worksheet'!C34</f>
        <v>0</v>
      </c>
      <c r="E17" s="78">
        <f t="shared" si="0"/>
        <v>35703.543000524762</v>
      </c>
      <c r="F17" s="96">
        <f>'Analysis Worksheet'!C63</f>
        <v>0.02</v>
      </c>
      <c r="G17" s="87">
        <f t="shared" si="17"/>
        <v>10907.691107986411</v>
      </c>
      <c r="H17" s="75">
        <f t="shared" si="8"/>
        <v>24795.851892538351</v>
      </c>
      <c r="I17" s="137">
        <f>'Loan Amortization'!H182+'Loan Amortization 2nd Loan'!H182</f>
        <v>8457.5728535888175</v>
      </c>
      <c r="J17" s="75">
        <f t="shared" si="18"/>
        <v>78843.008439894315</v>
      </c>
      <c r="K17" s="78">
        <f>H17-'Analysis Worksheet'!G25</f>
        <v>-1529.1835012738084</v>
      </c>
      <c r="L17" s="75">
        <f t="shared" si="19"/>
        <v>666029.40292415558</v>
      </c>
      <c r="M17" s="96">
        <f>'Analysis Worksheet'!C65</f>
        <v>0.04</v>
      </c>
      <c r="N17" s="137">
        <f t="shared" si="9"/>
        <v>26641.176116966293</v>
      </c>
      <c r="O17" s="75">
        <f t="shared" si="20"/>
        <v>292670.57904112188</v>
      </c>
      <c r="P17" s="78">
        <f t="shared" si="1"/>
        <v>692670.57904112188</v>
      </c>
      <c r="Q17" s="75">
        <f t="shared" si="10"/>
        <v>55413.646323289751</v>
      </c>
      <c r="R17" s="78">
        <f>'Loan Amortization'!G182</f>
        <v>240586.86916284647</v>
      </c>
      <c r="S17" s="78">
        <f>'Loan Amortization 2nd Loan'!G182</f>
        <v>14170.122397259109</v>
      </c>
      <c r="T17" s="75">
        <f t="shared" si="11"/>
        <v>437913.58748101629</v>
      </c>
      <c r="U17" s="75">
        <f t="shared" si="12"/>
        <v>-62362.04899391361</v>
      </c>
      <c r="V17" s="75">
        <f>'Analysis Worksheet'!F15</f>
        <v>64280</v>
      </c>
      <c r="W17" s="75">
        <f t="shared" si="21"/>
        <v>33569.565469281304</v>
      </c>
      <c r="X17" s="89">
        <f>H17/'Analysis Worksheet'!F6</f>
        <v>6.1989629731345877E-2</v>
      </c>
      <c r="Y17" s="89">
        <f t="shared" si="13"/>
        <v>0.52223966193654803</v>
      </c>
      <c r="Z17" s="89">
        <f t="shared" si="2"/>
        <v>-2.3789413523239086E-2</v>
      </c>
      <c r="AA17" s="81">
        <f t="shared" si="14"/>
        <v>7.6657967299853552E-2</v>
      </c>
      <c r="AB17" s="82">
        <f t="shared" si="3"/>
        <v>309151.53848710255</v>
      </c>
      <c r="AC17" s="77">
        <f t="shared" si="4"/>
        <v>4.8094514388161569</v>
      </c>
      <c r="AD17" s="75">
        <f t="shared" si="5"/>
        <v>253737.89216381279</v>
      </c>
      <c r="AE17" s="107">
        <f t="shared" si="6"/>
        <v>3.9473847567487987</v>
      </c>
      <c r="AF17" s="124"/>
      <c r="AG17" s="126"/>
      <c r="AH17" s="126"/>
      <c r="AI17" s="126"/>
      <c r="AJ17" s="84"/>
      <c r="AK17" s="102"/>
      <c r="AL17" s="102"/>
      <c r="AM17" s="102"/>
      <c r="AN17" s="84"/>
      <c r="AO17" s="102"/>
      <c r="AP17" s="102"/>
      <c r="AQ17" s="102"/>
      <c r="AR17" s="105">
        <f t="shared" si="16"/>
        <v>-2015.3766756373043</v>
      </c>
      <c r="AS17" s="102" t="s">
        <v>141</v>
      </c>
      <c r="AT17" s="102"/>
      <c r="AU17" s="104"/>
      <c r="AV17" s="144"/>
    </row>
    <row r="18" spans="1:48" s="91" customFormat="1" ht="15.6">
      <c r="A18" s="85">
        <v>15</v>
      </c>
      <c r="B18" s="76">
        <f>'Analysis Worksheet'!C64</f>
        <v>0.02</v>
      </c>
      <c r="C18" s="78">
        <f t="shared" si="7"/>
        <v>36417.613860535253</v>
      </c>
      <c r="D18" s="77">
        <f>'Analysis Worksheet'!C34</f>
        <v>0</v>
      </c>
      <c r="E18" s="78">
        <f t="shared" si="0"/>
        <v>36417.613860535253</v>
      </c>
      <c r="F18" s="96">
        <f>'Analysis Worksheet'!C63</f>
        <v>0.02</v>
      </c>
      <c r="G18" s="87">
        <f t="shared" si="17"/>
        <v>11125.844930146139</v>
      </c>
      <c r="H18" s="78">
        <f t="shared" si="8"/>
        <v>25291.768930389117</v>
      </c>
      <c r="I18" s="78">
        <f>'Loan Amortization'!H194+'Loan Amortization 2nd Loan'!H194</f>
        <v>9057.0454281418915</v>
      </c>
      <c r="J18" s="78">
        <f t="shared" si="18"/>
        <v>87900.053868036208</v>
      </c>
      <c r="K18" s="78">
        <f>H18-'Analysis Worksheet'!G25</f>
        <v>-1033.2664634230423</v>
      </c>
      <c r="L18" s="78">
        <f t="shared" si="19"/>
        <v>692670.57904112188</v>
      </c>
      <c r="M18" s="96">
        <f>'Analysis Worksheet'!C65</f>
        <v>0.04</v>
      </c>
      <c r="N18" s="78">
        <f t="shared" si="9"/>
        <v>27706.823161644861</v>
      </c>
      <c r="O18" s="78">
        <f t="shared" si="20"/>
        <v>320377.40220276674</v>
      </c>
      <c r="P18" s="78">
        <f t="shared" si="1"/>
        <v>720377.40220276674</v>
      </c>
      <c r="Q18" s="78">
        <f t="shared" si="10"/>
        <v>57630.192176221339</v>
      </c>
      <c r="R18" s="78">
        <f>'Loan Amortization'!G194</f>
        <v>232123.16440639252</v>
      </c>
      <c r="S18" s="78">
        <f>'Loan Amortization 2nd Loan'!G194</f>
        <v>13576.781725571176</v>
      </c>
      <c r="T18" s="75">
        <f t="shared" si="11"/>
        <v>474677.45607080305</v>
      </c>
      <c r="U18" s="78">
        <f t="shared" si="12"/>
        <v>-63395.315457336648</v>
      </c>
      <c r="V18" s="78">
        <f>'Analysis Worksheet'!F15</f>
        <v>64280</v>
      </c>
      <c r="W18" s="78">
        <f t="shared" si="21"/>
        <v>35730.602126363709</v>
      </c>
      <c r="X18" s="99">
        <f>H18/'Analysis Worksheet'!F6</f>
        <v>6.3229422325972798E-2</v>
      </c>
      <c r="Y18" s="89">
        <f t="shared" si="13"/>
        <v>0.55585877607908696</v>
      </c>
      <c r="Z18" s="89">
        <f t="shared" si="2"/>
        <v>-1.6074462716599913E-2</v>
      </c>
      <c r="AA18" s="89">
        <f t="shared" si="14"/>
        <v>7.5273433927382727E-2</v>
      </c>
      <c r="AB18" s="90">
        <f t="shared" si="3"/>
        <v>344882.14061346627</v>
      </c>
      <c r="AC18" s="88">
        <f t="shared" si="4"/>
        <v>5.3653102148952438</v>
      </c>
      <c r="AD18" s="78">
        <f t="shared" si="5"/>
        <v>287251.94843724492</v>
      </c>
      <c r="AE18" s="108">
        <f t="shared" si="6"/>
        <v>4.4687608655451916</v>
      </c>
      <c r="AF18" s="124"/>
      <c r="AG18" s="126"/>
      <c r="AH18" s="126"/>
      <c r="AI18" s="126"/>
      <c r="AJ18" s="84"/>
      <c r="AK18" s="102"/>
      <c r="AL18" s="102"/>
      <c r="AM18" s="102"/>
      <c r="AN18" s="84"/>
      <c r="AO18" s="102"/>
      <c r="AP18" s="102"/>
      <c r="AQ18" s="102"/>
      <c r="AR18" s="105">
        <f t="shared" si="16"/>
        <v>-1529.1835012738084</v>
      </c>
      <c r="AS18" s="102" t="s">
        <v>142</v>
      </c>
      <c r="AT18" s="102"/>
      <c r="AU18" s="104"/>
      <c r="AV18" s="145"/>
    </row>
    <row r="19" spans="1:48" ht="16.2" thickBot="1">
      <c r="A19" s="74">
        <v>16</v>
      </c>
      <c r="B19" s="76">
        <f>'Analysis Worksheet'!C64</f>
        <v>0.02</v>
      </c>
      <c r="C19" s="75">
        <f t="shared" si="7"/>
        <v>37145.966137745956</v>
      </c>
      <c r="D19" s="77">
        <f>'Analysis Worksheet'!C34</f>
        <v>0</v>
      </c>
      <c r="E19" s="78">
        <f t="shared" si="0"/>
        <v>37145.966137745956</v>
      </c>
      <c r="F19" s="96">
        <f>'Analysis Worksheet'!C63</f>
        <v>0.02</v>
      </c>
      <c r="G19" s="87">
        <f t="shared" si="17"/>
        <v>11348.361828749061</v>
      </c>
      <c r="H19" s="75">
        <f t="shared" si="8"/>
        <v>25797.604308996895</v>
      </c>
      <c r="I19" s="137">
        <f>'Loan Amortization'!H206+'Loan Amortization 2nd Loan'!H206</f>
        <v>9699.243764183233</v>
      </c>
      <c r="J19" s="75">
        <f t="shared" si="18"/>
        <v>97599.297632219444</v>
      </c>
      <c r="K19" s="78">
        <f>H19-'Analysis Worksheet'!G25</f>
        <v>-527.4310848152636</v>
      </c>
      <c r="L19" s="75">
        <f t="shared" si="19"/>
        <v>720377.40220276674</v>
      </c>
      <c r="M19" s="96">
        <f>'Analysis Worksheet'!C65</f>
        <v>0.04</v>
      </c>
      <c r="N19" s="137">
        <f t="shared" si="9"/>
        <v>28815.096088110702</v>
      </c>
      <c r="O19" s="75">
        <f t="shared" si="20"/>
        <v>349192.49829087744</v>
      </c>
      <c r="P19" s="78">
        <f t="shared" si="1"/>
        <v>749192.49829087744</v>
      </c>
      <c r="Q19" s="75">
        <f t="shared" si="10"/>
        <v>59935.399863270199</v>
      </c>
      <c r="R19" s="78">
        <f>'Loan Amortization'!G206</f>
        <v>223047.61774875119</v>
      </c>
      <c r="S19" s="78">
        <f>'Loan Amortization 2nd Loan'!G206</f>
        <v>12953.084619029274</v>
      </c>
      <c r="T19" s="75">
        <f t="shared" si="11"/>
        <v>513191.795923097</v>
      </c>
      <c r="U19" s="75">
        <f t="shared" si="12"/>
        <v>-63922.746542151915</v>
      </c>
      <c r="V19" s="75">
        <f>'Analysis Worksheet'!F15</f>
        <v>64280</v>
      </c>
      <c r="W19" s="75">
        <f t="shared" si="21"/>
        <v>37986.908767478672</v>
      </c>
      <c r="X19" s="99">
        <f>H19/'Analysis Worksheet'!F6</f>
        <v>6.4494010772492241E-2</v>
      </c>
      <c r="Y19" s="89">
        <f t="shared" si="13"/>
        <v>0.59095999949406774</v>
      </c>
      <c r="Z19" s="89">
        <f t="shared" si="2"/>
        <v>-8.2052128938279959E-3</v>
      </c>
      <c r="AA19" s="81">
        <f t="shared" si="14"/>
        <v>7.4020880827118871E-2</v>
      </c>
      <c r="AB19" s="82">
        <f t="shared" si="3"/>
        <v>382869.04938094498</v>
      </c>
      <c r="AC19" s="77">
        <f t="shared" si="4"/>
        <v>5.9562702143893125</v>
      </c>
      <c r="AD19" s="75">
        <f t="shared" si="5"/>
        <v>322933.64951767481</v>
      </c>
      <c r="AE19" s="107">
        <f t="shared" si="6"/>
        <v>5.0238588910652586</v>
      </c>
      <c r="AF19" s="127"/>
      <c r="AG19" s="128"/>
      <c r="AH19" s="129" t="s">
        <v>143</v>
      </c>
      <c r="AI19" s="129">
        <f>+IRR(AF4:AF5)</f>
        <v>-0.29303644524003203</v>
      </c>
      <c r="AJ19" s="113"/>
      <c r="AK19" s="113"/>
      <c r="AL19" s="114" t="s">
        <v>144</v>
      </c>
      <c r="AM19" s="125">
        <f>IRR(AJ4:AJ9)</f>
        <v>8.0784515697444492E-2</v>
      </c>
      <c r="AN19" s="113"/>
      <c r="AO19" s="113"/>
      <c r="AP19" s="114" t="s">
        <v>145</v>
      </c>
      <c r="AQ19" s="125">
        <f>IRR(AN4:AN14)</f>
        <v>0.10028524769367375</v>
      </c>
      <c r="AR19" s="116">
        <f>K18+AU7</f>
        <v>416013.99743115873</v>
      </c>
      <c r="AS19" s="113" t="s">
        <v>146</v>
      </c>
      <c r="AT19" s="114" t="s">
        <v>147</v>
      </c>
      <c r="AU19" s="115">
        <f>IRR(AR4:AR19)</f>
        <v>9.8129780822787005E-2</v>
      </c>
      <c r="AV19" s="144"/>
    </row>
    <row r="20" spans="1:48" ht="15.6">
      <c r="A20" s="74">
        <v>17</v>
      </c>
      <c r="B20" s="76">
        <f>'Analysis Worksheet'!C64</f>
        <v>0.02</v>
      </c>
      <c r="C20" s="75">
        <f t="shared" si="7"/>
        <v>37888.885460500875</v>
      </c>
      <c r="D20" s="77">
        <f>'Analysis Worksheet'!C34</f>
        <v>0</v>
      </c>
      <c r="E20" s="78">
        <f t="shared" si="0"/>
        <v>37888.885460500875</v>
      </c>
      <c r="F20" s="96">
        <f>'Analysis Worksheet'!C63</f>
        <v>0.02</v>
      </c>
      <c r="G20" s="87">
        <f t="shared" si="17"/>
        <v>11575.329065324042</v>
      </c>
      <c r="H20" s="75">
        <f t="shared" si="8"/>
        <v>26313.556395176834</v>
      </c>
      <c r="I20" s="137">
        <f>'Loan Amortization'!H218+'Loan Amortization 2nd Loan'!H218</f>
        <v>10387.225293552692</v>
      </c>
      <c r="J20" s="75">
        <f t="shared" si="18"/>
        <v>107986.52292577214</v>
      </c>
      <c r="K20" s="78">
        <f>H20-'Analysis Worksheet'!G25</f>
        <v>-11.478998635324388</v>
      </c>
      <c r="L20" s="75">
        <f t="shared" si="19"/>
        <v>749192.49829087744</v>
      </c>
      <c r="M20" s="96">
        <f>'Analysis Worksheet'!C65</f>
        <v>0.04</v>
      </c>
      <c r="N20" s="137">
        <f t="shared" si="9"/>
        <v>29967.699931635172</v>
      </c>
      <c r="O20" s="75">
        <f t="shared" si="20"/>
        <v>379160.19822251261</v>
      </c>
      <c r="P20" s="78">
        <f t="shared" si="1"/>
        <v>779160.19822251261</v>
      </c>
      <c r="Q20" s="75">
        <f t="shared" si="10"/>
        <v>62332.815857801012</v>
      </c>
      <c r="R20" s="78">
        <f>'Loan Amortization'!G218</f>
        <v>213315.99908941446</v>
      </c>
      <c r="S20" s="78">
        <f>'Loan Amortization 2nd Loan'!G218</f>
        <v>12297.477984813338</v>
      </c>
      <c r="T20" s="75">
        <f t="shared" si="11"/>
        <v>553546.72114828473</v>
      </c>
      <c r="U20" s="75">
        <f t="shared" si="12"/>
        <v>-63934.225540787244</v>
      </c>
      <c r="V20" s="75">
        <f>'Analysis Worksheet'!F15</f>
        <v>64280</v>
      </c>
      <c r="W20" s="75">
        <f t="shared" si="21"/>
        <v>40343.446226552536</v>
      </c>
      <c r="X20" s="89">
        <f>H20/'Analysis Worksheet'!F6</f>
        <v>6.5783890987942087E-2</v>
      </c>
      <c r="Y20" s="89">
        <f t="shared" si="13"/>
        <v>0.62762050756926779</v>
      </c>
      <c r="Z20" s="89">
        <f t="shared" si="2"/>
        <v>-1.7857807460056608E-4</v>
      </c>
      <c r="AA20" s="81">
        <f t="shared" si="14"/>
        <v>7.2881736419400253E-2</v>
      </c>
      <c r="AB20" s="82">
        <f t="shared" si="3"/>
        <v>423212.49560749752</v>
      </c>
      <c r="AC20" s="77">
        <f t="shared" si="4"/>
        <v>6.5838907219585803</v>
      </c>
      <c r="AD20" s="75">
        <f t="shared" si="5"/>
        <v>360879.67974969652</v>
      </c>
      <c r="AE20" s="83">
        <f t="shared" si="6"/>
        <v>5.6141829457015637</v>
      </c>
      <c r="AF20" s="122"/>
      <c r="AG20" s="122"/>
      <c r="AH20" s="122"/>
      <c r="AI20" s="122"/>
      <c r="AJ20" s="148"/>
      <c r="AK20" s="148"/>
      <c r="AL20" s="148"/>
      <c r="AM20" s="148"/>
      <c r="AN20" s="148"/>
      <c r="AO20" s="148"/>
      <c r="AP20" s="148"/>
      <c r="AQ20" s="148"/>
      <c r="AR20" s="148"/>
      <c r="AS20" s="106"/>
      <c r="AT20" s="148"/>
      <c r="AU20" s="148"/>
      <c r="AV20" s="142"/>
    </row>
    <row r="21" spans="1:48" ht="15.6">
      <c r="A21" s="74">
        <v>18</v>
      </c>
      <c r="B21" s="76">
        <f>'Analysis Worksheet'!C64</f>
        <v>0.02</v>
      </c>
      <c r="C21" s="75">
        <f t="shared" si="7"/>
        <v>38646.66316971089</v>
      </c>
      <c r="D21" s="77">
        <f>'Analysis Worksheet'!C34</f>
        <v>0</v>
      </c>
      <c r="E21" s="78">
        <f t="shared" si="0"/>
        <v>38646.66316971089</v>
      </c>
      <c r="F21" s="96">
        <f>'Analysis Worksheet'!C63</f>
        <v>0.02</v>
      </c>
      <c r="G21" s="87">
        <f t="shared" si="17"/>
        <v>11806.835646630523</v>
      </c>
      <c r="H21" s="75">
        <f t="shared" si="8"/>
        <v>26839.827523080367</v>
      </c>
      <c r="I21" s="137">
        <f>'Loan Amortization'!H230+'Loan Amortization 2nd Loan'!H230</f>
        <v>11124.266872968539</v>
      </c>
      <c r="J21" s="75">
        <f t="shared" si="18"/>
        <v>119110.78979874068</v>
      </c>
      <c r="K21" s="78">
        <f>H21-'Analysis Worksheet'!G25</f>
        <v>514.79212926820765</v>
      </c>
      <c r="L21" s="75">
        <f t="shared" si="19"/>
        <v>779160.19822251261</v>
      </c>
      <c r="M21" s="96">
        <f>'Analysis Worksheet'!C65</f>
        <v>0.04</v>
      </c>
      <c r="N21" s="137">
        <f t="shared" si="9"/>
        <v>31166.40792890056</v>
      </c>
      <c r="O21" s="75">
        <f t="shared" si="20"/>
        <v>410326.60615141317</v>
      </c>
      <c r="P21" s="78">
        <f t="shared" si="1"/>
        <v>810326.60615141317</v>
      </c>
      <c r="Q21" s="75">
        <f t="shared" si="10"/>
        <v>64826.128492113057</v>
      </c>
      <c r="R21" s="78">
        <f>'Loan Amortization'!G230</f>
        <v>202880.88093033221</v>
      </c>
      <c r="S21" s="78">
        <f>'Loan Amortization 2nd Loan'!G230</f>
        <v>11608.329270927063</v>
      </c>
      <c r="T21" s="75">
        <f t="shared" si="11"/>
        <v>595837.39595015382</v>
      </c>
      <c r="U21" s="75">
        <f t="shared" si="12"/>
        <v>-63419.433411519036</v>
      </c>
      <c r="V21" s="75">
        <f>'Analysis Worksheet'!F15</f>
        <v>64280</v>
      </c>
      <c r="W21" s="75">
        <f t="shared" si="21"/>
        <v>42805.466931137307</v>
      </c>
      <c r="X21" s="89">
        <f>H21/'Analysis Worksheet'!F6</f>
        <v>6.7099568807700918E-2</v>
      </c>
      <c r="Y21" s="89">
        <f t="shared" si="13"/>
        <v>0.66592201199653556</v>
      </c>
      <c r="Z21" s="89">
        <f t="shared" si="2"/>
        <v>8.0085894410113195E-3</v>
      </c>
      <c r="AA21" s="81">
        <f t="shared" si="14"/>
        <v>7.1840853263124657E-2</v>
      </c>
      <c r="AB21" s="82">
        <f t="shared" si="3"/>
        <v>466017.96253863478</v>
      </c>
      <c r="AC21" s="77">
        <f t="shared" si="4"/>
        <v>7.2498127339551148</v>
      </c>
      <c r="AD21" s="75">
        <f t="shared" si="5"/>
        <v>401191.83404652169</v>
      </c>
      <c r="AE21" s="83">
        <f t="shared" si="6"/>
        <v>6.2413166466478174</v>
      </c>
      <c r="AF21" s="83"/>
      <c r="AG21" s="83"/>
      <c r="AH21" s="83" t="s">
        <v>148</v>
      </c>
      <c r="AI21" s="83">
        <f>MIRR(AF4:AF5,'Analysis Worksheet'!F12,0.04)</f>
        <v>-0.29303644524003203</v>
      </c>
      <c r="AJ21" s="142"/>
      <c r="AK21" s="142"/>
      <c r="AL21" s="142" t="s">
        <v>148</v>
      </c>
      <c r="AM21" s="175">
        <f>MIRR(AN4:AN14,0.04,0.02)</f>
        <v>9.098823203996842E-2</v>
      </c>
      <c r="AN21" s="142"/>
      <c r="AO21" s="142"/>
      <c r="AP21" s="142" t="s">
        <v>148</v>
      </c>
      <c r="AQ21" s="175">
        <f>MIRR(AN4:AN14,'Analysis Worksheet'!$F$12,0.04)</f>
        <v>9.5935921690134984E-2</v>
      </c>
      <c r="AR21" s="142"/>
      <c r="AS21" s="142"/>
      <c r="AT21" s="142" t="s">
        <v>148</v>
      </c>
      <c r="AU21" s="175">
        <f>MIRR(AR4:AR19,'Analysis Worksheet'!$F$12,0.04)</f>
        <v>9.4534479427948792E-2</v>
      </c>
      <c r="AV21" s="142"/>
    </row>
    <row r="22" spans="1:48" ht="15.6">
      <c r="A22" s="74">
        <v>19</v>
      </c>
      <c r="B22" s="76">
        <f>'Analysis Worksheet'!C64</f>
        <v>0.02</v>
      </c>
      <c r="C22" s="75">
        <f t="shared" si="7"/>
        <v>39419.596433105107</v>
      </c>
      <c r="D22" s="77">
        <f>'Analysis Worksheet'!C34</f>
        <v>0</v>
      </c>
      <c r="E22" s="78">
        <f t="shared" si="0"/>
        <v>39419.596433105107</v>
      </c>
      <c r="F22" s="96">
        <f>'Analysis Worksheet'!C63</f>
        <v>0.02</v>
      </c>
      <c r="G22" s="87">
        <f t="shared" si="17"/>
        <v>12042.972359563133</v>
      </c>
      <c r="H22" s="75">
        <f t="shared" si="8"/>
        <v>27376.624073541974</v>
      </c>
      <c r="I22" s="137">
        <f>'Loan Amortization'!H242+'Loan Amortization 2nd Loan'!H242</f>
        <v>11913.880564558143</v>
      </c>
      <c r="J22" s="75">
        <f t="shared" si="18"/>
        <v>131024.67036329882</v>
      </c>
      <c r="K22" s="78">
        <f>H22-'Analysis Worksheet'!G25</f>
        <v>1051.5886797298153</v>
      </c>
      <c r="L22" s="75">
        <f t="shared" si="19"/>
        <v>810326.60615141317</v>
      </c>
      <c r="M22" s="96">
        <f>'Analysis Worksheet'!C65</f>
        <v>0.04</v>
      </c>
      <c r="N22" s="137">
        <f t="shared" si="9"/>
        <v>32413.064246056601</v>
      </c>
      <c r="O22" s="75">
        <f t="shared" si="20"/>
        <v>442739.67039746977</v>
      </c>
      <c r="P22" s="78">
        <f t="shared" si="1"/>
        <v>842739.67039746977</v>
      </c>
      <c r="Q22" s="75">
        <f t="shared" si="10"/>
        <v>67419.173631797588</v>
      </c>
      <c r="R22" s="78">
        <f>'Loan Amortization'!G242</f>
        <v>191691.40723578556</v>
      </c>
      <c r="S22" s="78">
        <f>'Loan Amortization 2nd Loan'!G242</f>
        <v>10883.922400915608</v>
      </c>
      <c r="T22" s="75">
        <f t="shared" si="11"/>
        <v>640164.34076076851</v>
      </c>
      <c r="U22" s="75">
        <f t="shared" si="12"/>
        <v>-62367.844731789221</v>
      </c>
      <c r="V22" s="75">
        <f>'Analysis Worksheet'!F15</f>
        <v>64280</v>
      </c>
      <c r="W22" s="75">
        <f t="shared" si="21"/>
        <v>45378.533490344562</v>
      </c>
      <c r="X22" s="89">
        <f>H22/'Analysis Worksheet'!F6</f>
        <v>6.844156018385493E-2</v>
      </c>
      <c r="Y22" s="89">
        <f t="shared" si="13"/>
        <v>0.70595104994313262</v>
      </c>
      <c r="Z22" s="89">
        <f t="shared" si="2"/>
        <v>1.6359500306935521E-2</v>
      </c>
      <c r="AA22" s="81">
        <f t="shared" si="14"/>
        <v>7.0885756361275781E-2</v>
      </c>
      <c r="AB22" s="82">
        <f t="shared" si="3"/>
        <v>511396.49602897943</v>
      </c>
      <c r="AC22" s="77">
        <f t="shared" si="4"/>
        <v>7.9557637838982487</v>
      </c>
      <c r="AD22" s="75">
        <f t="shared" si="5"/>
        <v>443977.32239718182</v>
      </c>
      <c r="AE22" s="83">
        <f t="shared" si="6"/>
        <v>6.9069278530986598</v>
      </c>
      <c r="AF22" s="83"/>
      <c r="AG22" s="83"/>
      <c r="AH22" s="83"/>
      <c r="AI22" s="83"/>
      <c r="AJ22" s="142"/>
      <c r="AK22" s="142"/>
      <c r="AL22" s="142"/>
      <c r="AM22" s="142"/>
      <c r="AN22" s="142"/>
      <c r="AO22" s="142"/>
      <c r="AP22" s="142"/>
      <c r="AQ22" s="142"/>
      <c r="AR22" s="142"/>
      <c r="AS22" s="142"/>
      <c r="AT22" s="142"/>
      <c r="AU22" s="142"/>
      <c r="AV22" s="142"/>
    </row>
    <row r="23" spans="1:48" ht="15.6">
      <c r="A23" s="74">
        <v>20</v>
      </c>
      <c r="B23" s="76">
        <f>'Analysis Worksheet'!C64</f>
        <v>0.02</v>
      </c>
      <c r="C23" s="75">
        <f t="shared" si="7"/>
        <v>40207.988361767209</v>
      </c>
      <c r="D23" s="77">
        <f>'Analysis Worksheet'!C34</f>
        <v>0</v>
      </c>
      <c r="E23" s="78">
        <f t="shared" si="0"/>
        <v>40207.988361767209</v>
      </c>
      <c r="F23" s="96">
        <f>'Analysis Worksheet'!C63</f>
        <v>0.02</v>
      </c>
      <c r="G23" s="87">
        <f t="shared" si="17"/>
        <v>12283.831806754395</v>
      </c>
      <c r="H23" s="75">
        <f t="shared" si="8"/>
        <v>27924.156555012814</v>
      </c>
      <c r="I23" s="137">
        <f>'Loan Amortization'!H254+'Loan Amortization 2nd Loan'!H266</f>
        <v>12798.788747102273</v>
      </c>
      <c r="J23" s="75">
        <f t="shared" si="18"/>
        <v>143823.45911040111</v>
      </c>
      <c r="K23" s="78">
        <f>H23-'Analysis Worksheet'!G25</f>
        <v>1599.1211612006555</v>
      </c>
      <c r="L23" s="75">
        <f t="shared" si="19"/>
        <v>842739.67039746977</v>
      </c>
      <c r="M23" s="96">
        <f>'Analysis Worksheet'!C65</f>
        <v>0.04</v>
      </c>
      <c r="N23" s="137">
        <f t="shared" si="9"/>
        <v>33709.586815898772</v>
      </c>
      <c r="O23" s="75">
        <f t="shared" si="20"/>
        <v>476449.25721336855</v>
      </c>
      <c r="P23" s="78">
        <f t="shared" si="1"/>
        <v>876449.25721336855</v>
      </c>
      <c r="Q23" s="75">
        <f t="shared" si="10"/>
        <v>70115.940577069487</v>
      </c>
      <c r="R23" s="78">
        <f>'Loan Amortization'!G254</f>
        <v>179693.04558312136</v>
      </c>
      <c r="S23" s="78">
        <f>'Loan Amortization 2nd Loan'!G254</f>
        <v>10122.453500595799</v>
      </c>
      <c r="T23" s="75">
        <f t="shared" si="11"/>
        <v>686633.75812965143</v>
      </c>
      <c r="U23" s="75">
        <f t="shared" si="12"/>
        <v>-60768.723570588569</v>
      </c>
      <c r="V23" s="75">
        <f>'Analysis Worksheet'!F15</f>
        <v>64280</v>
      </c>
      <c r="W23" s="75">
        <f t="shared" si="21"/>
        <v>48107.496724201701</v>
      </c>
      <c r="X23" s="89">
        <f>H23/'Analysis Worksheet'!F6</f>
        <v>6.9810391387532034E-2</v>
      </c>
      <c r="Y23" s="89">
        <f t="shared" si="13"/>
        <v>0.74840536285316894</v>
      </c>
      <c r="Z23" s="89">
        <f t="shared" si="2"/>
        <v>2.4877429390178212E-2</v>
      </c>
      <c r="AA23" s="81">
        <f t="shared" si="14"/>
        <v>7.0062819013215427E-2</v>
      </c>
      <c r="AB23" s="82">
        <f t="shared" si="3"/>
        <v>559503.99275318114</v>
      </c>
      <c r="AC23" s="77">
        <f t="shared" si="4"/>
        <v>8.7041691467514184</v>
      </c>
      <c r="AD23" s="75">
        <f t="shared" si="5"/>
        <v>489388.05217611167</v>
      </c>
      <c r="AE23" s="83">
        <f t="shared" si="6"/>
        <v>7.6133797787198452</v>
      </c>
      <c r="AF23" s="83"/>
      <c r="AG23" s="83"/>
      <c r="AH23" s="83"/>
      <c r="AI23" s="83"/>
      <c r="AJ23" s="142"/>
      <c r="AK23" s="142"/>
      <c r="AL23" s="142"/>
      <c r="AM23" s="142"/>
      <c r="AN23" s="142"/>
      <c r="AO23" s="142"/>
      <c r="AP23" s="142"/>
      <c r="AQ23" s="142"/>
      <c r="AR23" s="142"/>
      <c r="AS23" s="142"/>
      <c r="AT23" s="142"/>
      <c r="AU23" s="142"/>
      <c r="AV23" s="142"/>
    </row>
    <row r="24" spans="1:48" ht="15.6">
      <c r="A24" s="74">
        <v>21</v>
      </c>
      <c r="B24" s="76">
        <f>'Analysis Worksheet'!C64</f>
        <v>0.02</v>
      </c>
      <c r="C24" s="75">
        <f t="shared" si="7"/>
        <v>41012.148129002555</v>
      </c>
      <c r="D24" s="77">
        <f>'Analysis Worksheet'!C34</f>
        <v>0</v>
      </c>
      <c r="E24" s="78">
        <f t="shared" si="0"/>
        <v>41012.148129002555</v>
      </c>
      <c r="F24" s="96">
        <f>'Analysis Worksheet'!C63</f>
        <v>0.02</v>
      </c>
      <c r="G24" s="87">
        <f t="shared" si="17"/>
        <v>12529.508442889482</v>
      </c>
      <c r="H24" s="75">
        <f t="shared" si="8"/>
        <v>28482.639686113071</v>
      </c>
      <c r="I24" s="137">
        <f>'Loan Amortization'!H266+'Loan Amortization 2nd Loan'!H266</f>
        <v>13666.15128111573</v>
      </c>
      <c r="J24" s="75">
        <f t="shared" si="18"/>
        <v>157489.61039151682</v>
      </c>
      <c r="K24" s="78">
        <f>H24-'Analysis Worksheet'!G25</f>
        <v>2157.6042923009118</v>
      </c>
      <c r="L24" s="75">
        <f t="shared" si="19"/>
        <v>876449.25721336855</v>
      </c>
      <c r="M24" s="96">
        <f>'Analysis Worksheet'!C65</f>
        <v>0.04</v>
      </c>
      <c r="N24" s="137">
        <f t="shared" si="9"/>
        <v>35057.970288534765</v>
      </c>
      <c r="O24" s="75">
        <f t="shared" si="20"/>
        <v>511507.22750190331</v>
      </c>
      <c r="P24" s="78">
        <f t="shared" si="1"/>
        <v>911507.22750190331</v>
      </c>
      <c r="Q24" s="75">
        <f t="shared" si="10"/>
        <v>72920.57820015226</v>
      </c>
      <c r="R24" s="78">
        <f>'Loan Amortization'!G266</f>
        <v>166827.3213964437</v>
      </c>
      <c r="S24" s="78">
        <f>'Loan Amortization 2nd Loan'!G266</f>
        <v>9322.0264061577145</v>
      </c>
      <c r="T24" s="75">
        <f t="shared" si="11"/>
        <v>735357.87969930191</v>
      </c>
      <c r="U24" s="75">
        <f t="shared" si="12"/>
        <v>-58611.119278287661</v>
      </c>
      <c r="V24" s="75">
        <f>'Analysis Worksheet'!F15</f>
        <v>64280</v>
      </c>
      <c r="W24" s="75">
        <f t="shared" si="21"/>
        <v>50881.725861951403</v>
      </c>
      <c r="X24" s="89">
        <f>H24/'Analysis Worksheet'!F6</f>
        <v>7.1206599215282676E-2</v>
      </c>
      <c r="Y24" s="89">
        <f t="shared" si="13"/>
        <v>0.79156387464143441</v>
      </c>
      <c r="Z24" s="89">
        <f t="shared" si="2"/>
        <v>3.3565717055085743E-2</v>
      </c>
      <c r="AA24" s="81">
        <f t="shared" si="14"/>
        <v>6.9193146992261312E-2</v>
      </c>
      <c r="AB24" s="82">
        <f t="shared" si="3"/>
        <v>610385.7186151325</v>
      </c>
      <c r="AC24" s="77">
        <f t="shared" si="4"/>
        <v>9.4957330213928515</v>
      </c>
      <c r="AD24" s="75">
        <f t="shared" si="5"/>
        <v>537465.14041498024</v>
      </c>
      <c r="AE24" s="83">
        <f t="shared" si="6"/>
        <v>8.361312078640017</v>
      </c>
      <c r="AF24" s="83"/>
      <c r="AG24" s="83"/>
      <c r="AH24" s="83"/>
      <c r="AI24" s="83"/>
      <c r="AJ24" s="142"/>
      <c r="AK24" s="142"/>
      <c r="AL24" s="142"/>
      <c r="AM24" s="142"/>
      <c r="AN24" s="142"/>
      <c r="AO24" s="142"/>
      <c r="AP24" s="142"/>
      <c r="AQ24" s="142"/>
      <c r="AR24" s="142"/>
      <c r="AS24" s="142"/>
      <c r="AT24" s="142"/>
      <c r="AU24" s="142"/>
      <c r="AV24" s="142"/>
    </row>
    <row r="25" spans="1:48" ht="15.6">
      <c r="A25" s="74">
        <v>22</v>
      </c>
      <c r="B25" s="76">
        <f>'Analysis Worksheet'!C64</f>
        <v>0.02</v>
      </c>
      <c r="C25" s="75">
        <f t="shared" si="7"/>
        <v>41832.391091582605</v>
      </c>
      <c r="D25" s="77">
        <f>'Analysis Worksheet'!C34</f>
        <v>0</v>
      </c>
      <c r="E25" s="78">
        <f t="shared" si="0"/>
        <v>41832.391091582605</v>
      </c>
      <c r="F25" s="96">
        <f>'Analysis Worksheet'!C63</f>
        <v>0.02</v>
      </c>
      <c r="G25" s="87">
        <f t="shared" si="17"/>
        <v>12780.098611747271</v>
      </c>
      <c r="H25" s="75">
        <f t="shared" si="8"/>
        <v>29052.292479835334</v>
      </c>
      <c r="I25" s="137">
        <f>'Loan Amortization'!H278+'Loan Amortization 2nd Loan'!H278</f>
        <v>14637.166892112095</v>
      </c>
      <c r="J25" s="75">
        <f t="shared" si="18"/>
        <v>172126.77728362891</v>
      </c>
      <c r="K25" s="78">
        <f>H25-'Analysis Worksheet'!G25</f>
        <v>2727.2570860231754</v>
      </c>
      <c r="L25" s="75">
        <f t="shared" si="19"/>
        <v>911507.22750190331</v>
      </c>
      <c r="M25" s="96">
        <f>'Analysis Worksheet'!C65</f>
        <v>0.04</v>
      </c>
      <c r="N25" s="137">
        <f t="shared" si="9"/>
        <v>36460.289100076188</v>
      </c>
      <c r="O25" s="75">
        <f t="shared" si="20"/>
        <v>547967.5166019795</v>
      </c>
      <c r="P25" s="78">
        <f t="shared" si="1"/>
        <v>947967.5166019795</v>
      </c>
      <c r="Q25" s="75">
        <f t="shared" si="10"/>
        <v>75837.401328158361</v>
      </c>
      <c r="R25" s="78">
        <f>'Loan Amortization'!G278</f>
        <v>153031.53296803706</v>
      </c>
      <c r="S25" s="78">
        <f>'Loan Amortization 2nd Loan'!G278</f>
        <v>8480.6479424522113</v>
      </c>
      <c r="T25" s="75">
        <f t="shared" si="11"/>
        <v>786455.33569149021</v>
      </c>
      <c r="U25" s="75">
        <f t="shared" si="12"/>
        <v>-55883.862192264482</v>
      </c>
      <c r="V25" s="75">
        <f>'Analysis Worksheet'!F15</f>
        <v>64280</v>
      </c>
      <c r="W25" s="75">
        <f t="shared" si="21"/>
        <v>53824.713078211455</v>
      </c>
      <c r="X25" s="89">
        <f>H25/'Analysis Worksheet'!F6</f>
        <v>7.2630731199588336E-2</v>
      </c>
      <c r="Y25" s="89">
        <f t="shared" si="13"/>
        <v>0.8373477454606636</v>
      </c>
      <c r="Z25" s="89">
        <f t="shared" si="2"/>
        <v>4.2427770473291465E-2</v>
      </c>
      <c r="AA25" s="81">
        <f t="shared" si="14"/>
        <v>6.8439631134152232E-2</v>
      </c>
      <c r="AB25" s="82">
        <f t="shared" si="3"/>
        <v>664210.43169334391</v>
      </c>
      <c r="AC25" s="77">
        <f t="shared" si="4"/>
        <v>10.333080766853515</v>
      </c>
      <c r="AD25" s="75">
        <f t="shared" si="5"/>
        <v>588373.03036518558</v>
      </c>
      <c r="AE25" s="83">
        <f t="shared" si="6"/>
        <v>9.1532829863905665</v>
      </c>
      <c r="AF25" s="83"/>
      <c r="AG25" s="83"/>
      <c r="AH25" s="83"/>
      <c r="AI25" s="83"/>
      <c r="AJ25" s="142"/>
      <c r="AK25" s="142"/>
      <c r="AL25" s="142"/>
      <c r="AM25" s="142"/>
      <c r="AN25" s="142"/>
      <c r="AO25" s="142"/>
      <c r="AP25" s="142"/>
      <c r="AQ25" s="142"/>
      <c r="AR25" s="142"/>
      <c r="AS25" s="142"/>
      <c r="AT25" s="142"/>
      <c r="AU25" s="142"/>
      <c r="AV25" s="142"/>
    </row>
    <row r="26" spans="1:48" ht="15.6">
      <c r="A26" s="74">
        <v>23</v>
      </c>
      <c r="B26" s="76">
        <f>'Analysis Worksheet'!C64</f>
        <v>0.02</v>
      </c>
      <c r="C26" s="75">
        <f t="shared" si="7"/>
        <v>42669.038913414261</v>
      </c>
      <c r="D26" s="77">
        <f>'Analysis Worksheet'!C34</f>
        <v>0</v>
      </c>
      <c r="E26" s="78">
        <f t="shared" si="0"/>
        <v>42669.038913414261</v>
      </c>
      <c r="F26" s="96">
        <f>'Analysis Worksheet'!C63</f>
        <v>0.02</v>
      </c>
      <c r="G26" s="87">
        <f t="shared" si="17"/>
        <v>13035.700583982216</v>
      </c>
      <c r="H26" s="75">
        <f t="shared" si="8"/>
        <v>29633.338329432045</v>
      </c>
      <c r="I26" s="137">
        <f>'Loan Amortization'!H290+'Loan Amortization 2nd Loan'!H290</f>
        <v>15677.512072117124</v>
      </c>
      <c r="J26" s="75">
        <f t="shared" si="18"/>
        <v>187804.28935574603</v>
      </c>
      <c r="K26" s="78">
        <f>H26-'Analysis Worksheet'!G25</f>
        <v>3308.3029356198858</v>
      </c>
      <c r="L26" s="75">
        <f t="shared" si="19"/>
        <v>947967.5166019795</v>
      </c>
      <c r="M26" s="96">
        <f>'Analysis Worksheet'!C65</f>
        <v>0.04</v>
      </c>
      <c r="N26" s="137">
        <f t="shared" si="9"/>
        <v>37918.700664079166</v>
      </c>
      <c r="O26" s="75">
        <f t="shared" si="20"/>
        <v>585886.21726605867</v>
      </c>
      <c r="P26" s="78">
        <f t="shared" si="1"/>
        <v>985886.21726605867</v>
      </c>
      <c r="Q26" s="75">
        <f t="shared" si="10"/>
        <v>78870.897381284696</v>
      </c>
      <c r="R26" s="78">
        <f>'Loan Amortization'!G290</f>
        <v>138238.44587866546</v>
      </c>
      <c r="S26" s="78">
        <f>'Loan Amortization 2nd Loan'!G290</f>
        <v>7596.2229597067208</v>
      </c>
      <c r="T26" s="75">
        <f t="shared" si="11"/>
        <v>840051.54842768656</v>
      </c>
      <c r="U26" s="75">
        <f t="shared" si="12"/>
        <v>-52575.559256644599</v>
      </c>
      <c r="V26" s="75">
        <f>'Analysis Worksheet'!F15</f>
        <v>64280</v>
      </c>
      <c r="W26" s="75">
        <f t="shared" si="21"/>
        <v>56904.515671816174</v>
      </c>
      <c r="X26" s="89">
        <f>H26/'Analysis Worksheet'!F6</f>
        <v>7.4083345823580116E-2</v>
      </c>
      <c r="Y26" s="89">
        <f t="shared" si="13"/>
        <v>0.8852600446766673</v>
      </c>
      <c r="Z26" s="89">
        <f t="shared" si="2"/>
        <v>5.1467064959861322E-2</v>
      </c>
      <c r="AA26" s="81">
        <f t="shared" si="14"/>
        <v>6.773931406748028E-2</v>
      </c>
      <c r="AB26" s="82">
        <f t="shared" si="3"/>
        <v>721114.9473651601</v>
      </c>
      <c r="AC26" s="77">
        <f t="shared" si="4"/>
        <v>11.218340811530181</v>
      </c>
      <c r="AD26" s="75">
        <f t="shared" si="5"/>
        <v>642244.04998387536</v>
      </c>
      <c r="AE26" s="83">
        <f t="shared" si="6"/>
        <v>9.9913511198487139</v>
      </c>
      <c r="AF26" s="83"/>
      <c r="AG26" s="83"/>
      <c r="AH26" s="83"/>
      <c r="AI26" s="83"/>
      <c r="AJ26" s="142"/>
      <c r="AK26" s="142"/>
      <c r="AL26" s="142"/>
      <c r="AM26" s="142"/>
      <c r="AN26" s="142"/>
      <c r="AO26" s="142"/>
      <c r="AP26" s="142"/>
      <c r="AQ26" s="142"/>
      <c r="AR26" s="142"/>
      <c r="AS26" s="142"/>
      <c r="AT26" s="142"/>
      <c r="AU26" s="142"/>
      <c r="AV26" s="142"/>
    </row>
    <row r="27" spans="1:48" ht="15.6">
      <c r="A27" s="74">
        <v>24</v>
      </c>
      <c r="B27" s="76">
        <f>'Analysis Worksheet'!C64</f>
        <v>0.02</v>
      </c>
      <c r="C27" s="75">
        <f t="shared" si="7"/>
        <v>43522.419691682546</v>
      </c>
      <c r="D27" s="77">
        <f>'Analysis Worksheet'!C34</f>
        <v>0</v>
      </c>
      <c r="E27" s="78">
        <f t="shared" si="0"/>
        <v>43522.419691682546</v>
      </c>
      <c r="F27" s="96">
        <f>'Analysis Worksheet'!C63</f>
        <v>0.02</v>
      </c>
      <c r="G27" s="87">
        <f t="shared" si="17"/>
        <v>13296.414595661859</v>
      </c>
      <c r="H27" s="75">
        <f t="shared" si="8"/>
        <v>30226.005096020686</v>
      </c>
      <c r="I27" s="137">
        <f>'Loan Amortization'!H302+'Loan Amortization 2nd Loan'!H302</f>
        <v>16792.154394572408</v>
      </c>
      <c r="J27" s="75">
        <f t="shared" si="18"/>
        <v>204596.44375031843</v>
      </c>
      <c r="K27" s="78">
        <f>H27-'Analysis Worksheet'!G25</f>
        <v>3900.9697022085275</v>
      </c>
      <c r="L27" s="75">
        <f t="shared" si="19"/>
        <v>985886.21726605867</v>
      </c>
      <c r="M27" s="96">
        <f>'Analysis Worksheet'!C65</f>
        <v>0.04</v>
      </c>
      <c r="N27" s="137">
        <f t="shared" si="9"/>
        <v>39435.44869064237</v>
      </c>
      <c r="O27" s="75">
        <f t="shared" si="20"/>
        <v>625321.66595670104</v>
      </c>
      <c r="P27" s="78">
        <f t="shared" si="1"/>
        <v>1025321.665956701</v>
      </c>
      <c r="Q27" s="75">
        <f t="shared" si="10"/>
        <v>82025.733276536092</v>
      </c>
      <c r="R27" s="78">
        <f>'Loan Amortization'!G302</f>
        <v>122375.96532748983</v>
      </c>
      <c r="S27" s="78">
        <f>'Loan Amortization 2nd Loan'!G302</f>
        <v>6666.5491163099532</v>
      </c>
      <c r="T27" s="75">
        <f t="shared" si="11"/>
        <v>896279.1515129013</v>
      </c>
      <c r="U27" s="75">
        <f t="shared" si="12"/>
        <v>-48674.589554436068</v>
      </c>
      <c r="V27" s="75">
        <f>'Analysis Worksheet'!F15</f>
        <v>64280</v>
      </c>
      <c r="W27" s="75">
        <f t="shared" si="21"/>
        <v>60128.572787423313</v>
      </c>
      <c r="X27" s="89">
        <f>H27/'Analysis Worksheet'!F6</f>
        <v>7.5565012740051715E-2</v>
      </c>
      <c r="Y27" s="89">
        <f t="shared" si="13"/>
        <v>0.93541650260459419</v>
      </c>
      <c r="Z27" s="89">
        <f t="shared" si="2"/>
        <v>6.0687145336162533E-2</v>
      </c>
      <c r="AA27" s="81">
        <f t="shared" si="14"/>
        <v>6.7086881007917543E-2</v>
      </c>
      <c r="AB27" s="82">
        <f t="shared" si="3"/>
        <v>781243.52015258349</v>
      </c>
      <c r="AC27" s="77">
        <f t="shared" si="4"/>
        <v>12.153757314134777</v>
      </c>
      <c r="AD27" s="75">
        <f t="shared" si="5"/>
        <v>699217.78687604738</v>
      </c>
      <c r="AE27" s="83">
        <f t="shared" si="6"/>
        <v>10.877688034786051</v>
      </c>
      <c r="AF27" s="83"/>
      <c r="AG27" s="83"/>
      <c r="AH27" s="83"/>
      <c r="AI27" s="83"/>
      <c r="AJ27" s="142"/>
      <c r="AK27" s="142"/>
      <c r="AL27" s="142"/>
      <c r="AM27" s="142"/>
      <c r="AN27" s="142"/>
      <c r="AO27" s="142"/>
      <c r="AP27" s="142"/>
      <c r="AQ27" s="142"/>
      <c r="AR27" s="142"/>
      <c r="AS27" s="142"/>
      <c r="AT27" s="142"/>
      <c r="AU27" s="142"/>
      <c r="AV27" s="142"/>
    </row>
    <row r="28" spans="1:48" ht="15.6">
      <c r="A28" s="74">
        <v>25</v>
      </c>
      <c r="B28" s="76">
        <f>'Analysis Worksheet'!C64</f>
        <v>0.02</v>
      </c>
      <c r="C28" s="75">
        <f t="shared" si="7"/>
        <v>44392.868085516195</v>
      </c>
      <c r="D28" s="77">
        <f>'Analysis Worksheet'!C34</f>
        <v>0</v>
      </c>
      <c r="E28" s="78">
        <f t="shared" si="0"/>
        <v>44392.868085516195</v>
      </c>
      <c r="F28" s="96">
        <f>'Analysis Worksheet'!C63</f>
        <v>0.02</v>
      </c>
      <c r="G28" s="87">
        <f t="shared" si="17"/>
        <v>13562.342887575096</v>
      </c>
      <c r="H28" s="75">
        <f t="shared" si="8"/>
        <v>30830.525197941097</v>
      </c>
      <c r="I28" s="137">
        <f>'Loan Amortization'!H314+'Loan Amortization 2nd Loan'!H314</f>
        <v>17986.418274436546</v>
      </c>
      <c r="J28" s="75">
        <f t="shared" si="18"/>
        <v>222582.86202475498</v>
      </c>
      <c r="K28" s="78">
        <f>H28-'Analysis Worksheet'!G25</f>
        <v>4505.489804128938</v>
      </c>
      <c r="L28" s="75">
        <f t="shared" si="19"/>
        <v>1025321.665956701</v>
      </c>
      <c r="M28" s="96">
        <f>'Analysis Worksheet'!C65</f>
        <v>0.04</v>
      </c>
      <c r="N28" s="137">
        <f t="shared" si="9"/>
        <v>41012.866638267995</v>
      </c>
      <c r="O28" s="75">
        <f t="shared" si="20"/>
        <v>666334.53259496903</v>
      </c>
      <c r="P28" s="78">
        <f t="shared" si="1"/>
        <v>1066334.532594969</v>
      </c>
      <c r="Q28" s="75">
        <f t="shared" si="10"/>
        <v>85306.762607597528</v>
      </c>
      <c r="R28" s="78">
        <f>'Loan Amortization'!G314</f>
        <v>105366.78477468925</v>
      </c>
      <c r="S28" s="78">
        <f>'Loan Amortization 2nd Loan'!G314</f>
        <v>5689.3113946740004</v>
      </c>
      <c r="T28" s="75">
        <f t="shared" si="11"/>
        <v>955278.43642560579</v>
      </c>
      <c r="U28" s="75">
        <f t="shared" si="12"/>
        <v>-44169.099750307127</v>
      </c>
      <c r="V28" s="75">
        <f>'Analysis Worksheet'!F15</f>
        <v>64280</v>
      </c>
      <c r="W28" s="75">
        <f t="shared" si="21"/>
        <v>63504.774716833475</v>
      </c>
      <c r="X28" s="89">
        <f>H28/'Analysis Worksheet'!F6</f>
        <v>7.7076312994852736E-2</v>
      </c>
      <c r="Y28" s="89">
        <f t="shared" si="13"/>
        <v>0.98793986802790101</v>
      </c>
      <c r="Z28" s="89">
        <f t="shared" si="2"/>
        <v>7.0091627319989705E-2</v>
      </c>
      <c r="AA28" s="81">
        <f t="shared" si="14"/>
        <v>6.6477764278288554E-2</v>
      </c>
      <c r="AB28" s="82">
        <f t="shared" si="3"/>
        <v>844748.29486941686</v>
      </c>
      <c r="AC28" s="77">
        <f t="shared" si="4"/>
        <v>13.141697182162677</v>
      </c>
      <c r="AD28" s="75">
        <f t="shared" si="5"/>
        <v>759441.53226181935</v>
      </c>
      <c r="AE28" s="83">
        <f t="shared" si="6"/>
        <v>11.814585131640003</v>
      </c>
      <c r="AF28" s="83"/>
      <c r="AG28" s="83"/>
      <c r="AH28" s="83"/>
      <c r="AI28" s="83"/>
      <c r="AJ28" s="142"/>
      <c r="AK28" s="142"/>
      <c r="AL28" s="142"/>
      <c r="AM28" s="142"/>
      <c r="AN28" s="142"/>
      <c r="AO28" s="142"/>
      <c r="AP28" s="142"/>
      <c r="AQ28" s="142"/>
      <c r="AR28" s="142"/>
      <c r="AS28" s="142"/>
      <c r="AT28" s="142"/>
      <c r="AU28" s="142"/>
      <c r="AV28" s="142"/>
    </row>
    <row r="29" spans="1:48" ht="15.6">
      <c r="A29" s="74">
        <v>26</v>
      </c>
      <c r="B29" s="76">
        <f>'Analysis Worksheet'!C64</f>
        <v>0.02</v>
      </c>
      <c r="C29" s="75">
        <f t="shared" si="7"/>
        <v>45280.725447226519</v>
      </c>
      <c r="D29" s="77">
        <f>'Analysis Worksheet'!C34</f>
        <v>0</v>
      </c>
      <c r="E29" s="78">
        <f t="shared" si="0"/>
        <v>45280.725447226519</v>
      </c>
      <c r="F29" s="96">
        <f>'Analysis Worksheet'!C63</f>
        <v>0.02</v>
      </c>
      <c r="G29" s="87">
        <f t="shared" si="17"/>
        <v>13833.589745326597</v>
      </c>
      <c r="H29" s="75">
        <f t="shared" si="8"/>
        <v>31447.135701899922</v>
      </c>
      <c r="I29" s="137">
        <f>'Loan Amortization'!H326+'Loan Amortization 2nd Loan'!H326</f>
        <v>19266.010648417327</v>
      </c>
      <c r="J29" s="75">
        <f t="shared" si="18"/>
        <v>241848.8726731723</v>
      </c>
      <c r="K29" s="78">
        <f>H29-'Analysis Worksheet'!G25</f>
        <v>5122.1003080877636</v>
      </c>
      <c r="L29" s="75">
        <f t="shared" si="19"/>
        <v>1066334.532594969</v>
      </c>
      <c r="M29" s="96">
        <f>'Analysis Worksheet'!C65</f>
        <v>0.04</v>
      </c>
      <c r="N29" s="137">
        <f t="shared" si="9"/>
        <v>42653.381303798873</v>
      </c>
      <c r="O29" s="75">
        <f t="shared" si="20"/>
        <v>708987.9138987679</v>
      </c>
      <c r="P29" s="78">
        <f t="shared" si="1"/>
        <v>1108987.9138987679</v>
      </c>
      <c r="Q29" s="75">
        <f t="shared" si="10"/>
        <v>88719.03311190143</v>
      </c>
      <c r="R29" s="78">
        <f>'Loan Amortization'!G326</f>
        <v>87128.009184428403</v>
      </c>
      <c r="S29" s="78">
        <f>'Loan Amortization 2nd Loan'!G326</f>
        <v>4662.0763365175335</v>
      </c>
      <c r="T29" s="75">
        <f t="shared" si="11"/>
        <v>1017197.8283778219</v>
      </c>
      <c r="U29" s="75">
        <f t="shared" si="12"/>
        <v>-39046.999442219363</v>
      </c>
      <c r="V29" s="75">
        <f>'Analysis Worksheet'!F15</f>
        <v>64280</v>
      </c>
      <c r="W29" s="75">
        <f t="shared" si="21"/>
        <v>67041.492260303959</v>
      </c>
      <c r="X29" s="89">
        <f>H29/'Analysis Worksheet'!F6</f>
        <v>7.86178392547498E-2</v>
      </c>
      <c r="Y29" s="89">
        <f t="shared" si="13"/>
        <v>1.0429603649705035</v>
      </c>
      <c r="Z29" s="89">
        <f t="shared" si="2"/>
        <v>7.9684198943493517E-2</v>
      </c>
      <c r="AA29" s="81">
        <f t="shared" si="14"/>
        <v>6.5908017486842746E-2</v>
      </c>
      <c r="AB29" s="82">
        <f t="shared" si="3"/>
        <v>911789.78712972079</v>
      </c>
      <c r="AC29" s="77">
        <f t="shared" si="4"/>
        <v>14.184657547133179</v>
      </c>
      <c r="AD29" s="75">
        <f t="shared" si="5"/>
        <v>823070.75401781942</v>
      </c>
      <c r="AE29" s="83">
        <f t="shared" si="6"/>
        <v>12.804461014589599</v>
      </c>
      <c r="AF29" s="83"/>
      <c r="AG29" s="83"/>
      <c r="AH29" s="83"/>
      <c r="AI29" s="83"/>
      <c r="AJ29" s="142"/>
      <c r="AK29" s="142"/>
      <c r="AL29" s="142"/>
      <c r="AM29" s="142"/>
      <c r="AN29" s="142"/>
      <c r="AO29" s="142"/>
      <c r="AP29" s="142"/>
      <c r="AQ29" s="142"/>
      <c r="AR29" s="142"/>
      <c r="AS29" s="142"/>
      <c r="AT29" s="142"/>
      <c r="AU29" s="142"/>
      <c r="AV29" s="142"/>
    </row>
    <row r="30" spans="1:48" ht="15.6">
      <c r="A30" s="74">
        <v>27</v>
      </c>
      <c r="B30" s="76">
        <f>'Analysis Worksheet'!C64</f>
        <v>0.02</v>
      </c>
      <c r="C30" s="75">
        <f t="shared" si="7"/>
        <v>46186.339956171047</v>
      </c>
      <c r="D30" s="77">
        <f>'Analysis Worksheet'!C34</f>
        <v>0</v>
      </c>
      <c r="E30" s="78">
        <f t="shared" si="0"/>
        <v>46186.339956171047</v>
      </c>
      <c r="F30" s="96">
        <f>'Analysis Worksheet'!C63</f>
        <v>0.02</v>
      </c>
      <c r="G30" s="87">
        <f t="shared" si="17"/>
        <v>14110.261540233128</v>
      </c>
      <c r="H30" s="75">
        <f t="shared" si="8"/>
        <v>32076.078415937918</v>
      </c>
      <c r="I30" s="137">
        <f>'Loan Amortization'!H338+'Loan Amortization 2nd Loan'!H338</f>
        <v>20637.048505701954</v>
      </c>
      <c r="J30" s="75">
        <f t="shared" si="18"/>
        <v>262485.92117887427</v>
      </c>
      <c r="K30" s="78">
        <f>H30-'Analysis Worksheet'!G25</f>
        <v>5751.0430221257593</v>
      </c>
      <c r="L30" s="75">
        <f t="shared" si="19"/>
        <v>1108987.9138987679</v>
      </c>
      <c r="M30" s="96">
        <f>'Analysis Worksheet'!C65</f>
        <v>0.04</v>
      </c>
      <c r="N30" s="137">
        <f t="shared" si="9"/>
        <v>44359.516555950744</v>
      </c>
      <c r="O30" s="75">
        <f t="shared" si="20"/>
        <v>753347.43045471865</v>
      </c>
      <c r="P30" s="78">
        <f t="shared" si="1"/>
        <v>1153347.4304547186</v>
      </c>
      <c r="Q30" s="75">
        <f t="shared" si="10"/>
        <v>92267.794436377488</v>
      </c>
      <c r="R30" s="78">
        <f>'Loan Amortization'!G338</f>
        <v>67570.751032028871</v>
      </c>
      <c r="S30" s="78">
        <f>'Loan Amortization 2nd Loan'!G338</f>
        <v>3582.2859832151294</v>
      </c>
      <c r="T30" s="75">
        <f t="shared" si="11"/>
        <v>1082194.3934394747</v>
      </c>
      <c r="U30" s="75">
        <f t="shared" si="12"/>
        <v>-33295.9564200936</v>
      </c>
      <c r="V30" s="75">
        <f>'Analysis Worksheet'!F15</f>
        <v>64280</v>
      </c>
      <c r="W30" s="75">
        <f t="shared" si="21"/>
        <v>70747.608083778454</v>
      </c>
      <c r="X30" s="89">
        <f>H30/'Analysis Worksheet'!F6</f>
        <v>8.0190196039844799E-2</v>
      </c>
      <c r="Y30" s="89">
        <f t="shared" si="13"/>
        <v>1.1006161805192665</v>
      </c>
      <c r="Z30" s="89">
        <f t="shared" si="2"/>
        <v>8.9468621999467327E-2</v>
      </c>
      <c r="AA30" s="81">
        <f t="shared" si="14"/>
        <v>6.5374214200949146E-2</v>
      </c>
      <c r="AB30" s="82">
        <f t="shared" si="3"/>
        <v>982537.39521349943</v>
      </c>
      <c r="AC30" s="77">
        <f t="shared" si="4"/>
        <v>15.285273727652449</v>
      </c>
      <c r="AD30" s="75">
        <f t="shared" si="5"/>
        <v>890269.60077712196</v>
      </c>
      <c r="AE30" s="83">
        <f t="shared" si="6"/>
        <v>13.849869333807124</v>
      </c>
      <c r="AF30" s="83"/>
      <c r="AG30" s="83"/>
      <c r="AH30" s="83"/>
      <c r="AI30" s="83"/>
      <c r="AJ30" s="142"/>
      <c r="AK30" s="142"/>
      <c r="AL30" s="142"/>
      <c r="AM30" s="142"/>
      <c r="AN30" s="142"/>
      <c r="AO30" s="142"/>
      <c r="AP30" s="142"/>
      <c r="AQ30" s="142"/>
      <c r="AR30" s="142"/>
      <c r="AS30" s="142"/>
      <c r="AT30" s="142"/>
      <c r="AU30" s="142"/>
      <c r="AV30" s="142"/>
    </row>
    <row r="31" spans="1:48" ht="15.6">
      <c r="A31" s="74">
        <v>28</v>
      </c>
      <c r="B31" s="76">
        <f>'Analysis Worksheet'!C64</f>
        <v>0.02</v>
      </c>
      <c r="C31" s="75">
        <f t="shared" si="7"/>
        <v>47110.066755294465</v>
      </c>
      <c r="D31" s="77">
        <f>'Analysis Worksheet'!C34</f>
        <v>0</v>
      </c>
      <c r="E31" s="78">
        <f t="shared" si="0"/>
        <v>47110.066755294465</v>
      </c>
      <c r="F31" s="96">
        <f>'Analysis Worksheet'!C63</f>
        <v>0.02</v>
      </c>
      <c r="G31" s="87">
        <f t="shared" si="17"/>
        <v>14392.466771037791</v>
      </c>
      <c r="H31" s="75">
        <f t="shared" si="8"/>
        <v>32717.599984256674</v>
      </c>
      <c r="I31" s="137">
        <f>'Loan Amortization'!H350+'Loan Amortization 2nd Loan'!H350</f>
        <v>22106.088402654535</v>
      </c>
      <c r="J31" s="75">
        <f t="shared" si="18"/>
        <v>284592.00958152878</v>
      </c>
      <c r="K31" s="78">
        <f>H31-'Analysis Worksheet'!G25</f>
        <v>6392.5645904445155</v>
      </c>
      <c r="L31" s="75">
        <f t="shared" si="19"/>
        <v>1153347.4304547186</v>
      </c>
      <c r="M31" s="96">
        <f>'Analysis Worksheet'!C65</f>
        <v>0.04</v>
      </c>
      <c r="N31" s="137">
        <f t="shared" si="9"/>
        <v>46133.897218188737</v>
      </c>
      <c r="O31" s="75">
        <f t="shared" si="20"/>
        <v>799481.32767290738</v>
      </c>
      <c r="P31" s="78">
        <f t="shared" si="1"/>
        <v>1199481.3276729074</v>
      </c>
      <c r="Q31" s="75">
        <f t="shared" si="10"/>
        <v>95958.506213832588</v>
      </c>
      <c r="R31" s="78">
        <f>'Loan Amortization'!G350</f>
        <v>46599.69710646609</v>
      </c>
      <c r="S31" s="78">
        <f>'Loan Amortization 2nd Loan'!G350</f>
        <v>2447.2515061233853</v>
      </c>
      <c r="T31" s="75">
        <f t="shared" si="11"/>
        <v>1150434.3790603178</v>
      </c>
      <c r="U31" s="75">
        <f t="shared" si="12"/>
        <v>-26903.391829649085</v>
      </c>
      <c r="V31" s="75">
        <f>'Analysis Worksheet'!F15</f>
        <v>64280</v>
      </c>
      <c r="W31" s="75">
        <f t="shared" si="21"/>
        <v>74632.550211287788</v>
      </c>
      <c r="X31" s="89">
        <f>H31/'Analysis Worksheet'!F6</f>
        <v>8.1793999960641683E-2</v>
      </c>
      <c r="Y31" s="89">
        <f t="shared" si="13"/>
        <v>1.1610539858632201</v>
      </c>
      <c r="Z31" s="89">
        <f t="shared" si="2"/>
        <v>9.9448733516560597E-2</v>
      </c>
      <c r="AA31" s="81">
        <f t="shared" si="14"/>
        <v>6.4873365721431361E-2</v>
      </c>
      <c r="AB31" s="82">
        <f t="shared" si="3"/>
        <v>1057169.9454247872</v>
      </c>
      <c r="AC31" s="77">
        <f t="shared" si="4"/>
        <v>16.446327713515668</v>
      </c>
      <c r="AD31" s="75">
        <f t="shared" si="5"/>
        <v>961211.43921095459</v>
      </c>
      <c r="AE31" s="83">
        <f t="shared" si="6"/>
        <v>14.95350714391653</v>
      </c>
      <c r="AF31" s="83"/>
      <c r="AG31" s="83"/>
      <c r="AH31" s="83"/>
      <c r="AI31" s="83"/>
      <c r="AJ31" s="142"/>
      <c r="AK31" s="142"/>
      <c r="AL31" s="142"/>
      <c r="AM31" s="142"/>
      <c r="AN31" s="142"/>
      <c r="AO31" s="142"/>
      <c r="AP31" s="142"/>
      <c r="AQ31" s="142"/>
      <c r="AR31" s="142"/>
      <c r="AS31" s="142"/>
      <c r="AT31" s="142"/>
      <c r="AU31" s="142"/>
      <c r="AV31" s="142"/>
    </row>
    <row r="32" spans="1:48" ht="15.6">
      <c r="A32" s="74">
        <v>29</v>
      </c>
      <c r="B32" s="76">
        <f>'Analysis Worksheet'!C64</f>
        <v>0.02</v>
      </c>
      <c r="C32" s="75">
        <f t="shared" si="7"/>
        <v>48052.268090400357</v>
      </c>
      <c r="D32" s="77">
        <f>'Analysis Worksheet'!C34</f>
        <v>0</v>
      </c>
      <c r="E32" s="78">
        <f t="shared" si="0"/>
        <v>48052.268090400357</v>
      </c>
      <c r="F32" s="96">
        <f>'Analysis Worksheet'!C63</f>
        <v>0.02</v>
      </c>
      <c r="G32" s="87">
        <f t="shared" si="17"/>
        <v>14680.316106458547</v>
      </c>
      <c r="H32" s="75">
        <f t="shared" si="8"/>
        <v>33371.951983941806</v>
      </c>
      <c r="I32" s="137">
        <f>'Loan Amortization'!H362+'Loan Amortization 2nd Loan'!H362</f>
        <v>23680.158104583155</v>
      </c>
      <c r="J32" s="75">
        <f t="shared" si="18"/>
        <v>308272.16768611193</v>
      </c>
      <c r="K32" s="78">
        <f>H32-'Analysis Worksheet'!G25</f>
        <v>7046.9165901296474</v>
      </c>
      <c r="L32" s="75">
        <f t="shared" si="19"/>
        <v>1199481.3276729074</v>
      </c>
      <c r="M32" s="96">
        <f>'Analysis Worksheet'!C65</f>
        <v>0.04</v>
      </c>
      <c r="N32" s="137">
        <f t="shared" si="9"/>
        <v>47979.253106916323</v>
      </c>
      <c r="O32" s="75">
        <f t="shared" si="20"/>
        <v>847460.58077982371</v>
      </c>
      <c r="P32" s="78">
        <f t="shared" si="1"/>
        <v>1247460.5807798237</v>
      </c>
      <c r="Q32" s="75">
        <f t="shared" si="10"/>
        <v>99796.846462385904</v>
      </c>
      <c r="R32" s="78">
        <f>'Loan Amortization'!G362</f>
        <v>24112.643996983894</v>
      </c>
      <c r="S32" s="78">
        <f>'Loan Amortization 2nd Loan'!G362</f>
        <v>1254.1465110224281</v>
      </c>
      <c r="T32" s="75">
        <f t="shared" si="11"/>
        <v>1222093.7902718172</v>
      </c>
      <c r="U32" s="75">
        <f t="shared" si="12"/>
        <v>-19856.475239519437</v>
      </c>
      <c r="V32" s="75">
        <f>'Analysis Worksheet'!F15</f>
        <v>64280</v>
      </c>
      <c r="W32" s="75">
        <f t="shared" si="21"/>
        <v>78706.32780162913</v>
      </c>
      <c r="X32" s="89">
        <f>H32/'Analysis Worksheet'!F6</f>
        <v>8.3429879959854514E-2</v>
      </c>
      <c r="Y32" s="89">
        <f t="shared" si="13"/>
        <v>1.2244294928691526</v>
      </c>
      <c r="Z32" s="89">
        <f t="shared" si="2"/>
        <v>0.10962844726399576</v>
      </c>
      <c r="AA32" s="81">
        <f t="shared" si="14"/>
        <v>6.4402853879261854E-2</v>
      </c>
      <c r="AB32" s="82">
        <f t="shared" si="3"/>
        <v>1135876.2732264162</v>
      </c>
      <c r="AC32" s="77">
        <f t="shared" si="4"/>
        <v>17.67075720638482</v>
      </c>
      <c r="AD32" s="75">
        <f t="shared" si="5"/>
        <v>1036079.4267640302</v>
      </c>
      <c r="AE32" s="83">
        <f t="shared" si="6"/>
        <v>16.118223814001716</v>
      </c>
      <c r="AF32" s="83"/>
      <c r="AG32" s="83"/>
      <c r="AH32" s="83"/>
      <c r="AI32" s="83"/>
      <c r="AJ32" s="142"/>
      <c r="AK32" s="142"/>
      <c r="AL32" s="142"/>
      <c r="AM32" s="142"/>
      <c r="AN32" s="142"/>
      <c r="AO32" s="142"/>
      <c r="AP32" s="142"/>
      <c r="AQ32" s="142"/>
      <c r="AR32" s="142"/>
      <c r="AS32" s="142"/>
      <c r="AT32" s="142"/>
      <c r="AU32" s="142"/>
      <c r="AV32" s="142"/>
    </row>
    <row r="33" spans="1:35" ht="15.6">
      <c r="A33" s="74">
        <v>30</v>
      </c>
      <c r="B33" s="76">
        <f>'Analysis Worksheet'!C64</f>
        <v>0.02</v>
      </c>
      <c r="C33" s="75">
        <f t="shared" si="7"/>
        <v>49013.313452208364</v>
      </c>
      <c r="D33" s="77">
        <f>'Analysis Worksheet'!C34</f>
        <v>0</v>
      </c>
      <c r="E33" s="78">
        <f t="shared" si="0"/>
        <v>49013.313452208364</v>
      </c>
      <c r="F33" s="96">
        <f>'Analysis Worksheet'!C63</f>
        <v>0.02</v>
      </c>
      <c r="G33" s="87">
        <f t="shared" si="17"/>
        <v>14973.922428587719</v>
      </c>
      <c r="H33" s="75">
        <f t="shared" si="8"/>
        <v>34039.391023620643</v>
      </c>
      <c r="I33" s="137">
        <f>'Loan Amortization'!H374+'Loan Amortization 2nd Loan'!H374</f>
        <v>25366.790508006321</v>
      </c>
      <c r="J33" s="75">
        <f t="shared" si="18"/>
        <v>333638.95819411823</v>
      </c>
      <c r="K33" s="78">
        <f>H33-'Analysis Worksheet'!G25</f>
        <v>7714.3556298084841</v>
      </c>
      <c r="L33" s="79">
        <f t="shared" si="19"/>
        <v>1247460.5807798237</v>
      </c>
      <c r="M33" s="96">
        <f>'Analysis Worksheet'!C65</f>
        <v>0.04</v>
      </c>
      <c r="N33" s="137">
        <f t="shared" si="9"/>
        <v>49898.423231193097</v>
      </c>
      <c r="O33" s="75">
        <f t="shared" si="20"/>
        <v>897359.0040110168</v>
      </c>
      <c r="P33" s="78">
        <f t="shared" si="1"/>
        <v>1297359.0040110168</v>
      </c>
      <c r="Q33" s="75">
        <f t="shared" si="10"/>
        <v>103788.72032088134</v>
      </c>
      <c r="R33" s="78">
        <f>'Loan Amortization'!G374</f>
        <v>0</v>
      </c>
      <c r="S33" s="78">
        <f>'Loan Amortization 2nd Loan'!G374</f>
        <v>0</v>
      </c>
      <c r="T33" s="75">
        <f t="shared" si="11"/>
        <v>1297359.0040110168</v>
      </c>
      <c r="U33" s="75">
        <f t="shared" si="12"/>
        <v>-12142.119609710953</v>
      </c>
      <c r="V33" s="75">
        <f>'Analysis Worksheet'!F15</f>
        <v>64280</v>
      </c>
      <c r="W33" s="75">
        <f t="shared" si="21"/>
        <v>82979.569369007906</v>
      </c>
      <c r="X33" s="99">
        <f>H33/'Analysis Worksheet'!F6</f>
        <v>8.5098477559051602E-2</v>
      </c>
      <c r="Y33" s="89">
        <f t="shared" si="13"/>
        <v>1.2909080486777833</v>
      </c>
      <c r="Z33" s="89">
        <f t="shared" si="2"/>
        <v>0.12001175528637965</v>
      </c>
      <c r="AA33" s="81">
        <f t="shared" si="14"/>
        <v>6.3960375742151368E-2</v>
      </c>
      <c r="AB33" s="82">
        <f t="shared" si="3"/>
        <v>1218855.842595424</v>
      </c>
      <c r="AC33" s="80">
        <f t="shared" si="4"/>
        <v>18.961665255062602</v>
      </c>
      <c r="AD33" s="75">
        <f t="shared" si="5"/>
        <v>1115067.1222745427</v>
      </c>
      <c r="AE33" s="83">
        <f t="shared" si="6"/>
        <v>17.347030526984174</v>
      </c>
      <c r="AF33" s="83"/>
      <c r="AG33" s="83"/>
      <c r="AH33" s="83"/>
      <c r="AI33" s="83"/>
    </row>
    <row r="34" spans="1:35" ht="15">
      <c r="A34" s="74">
        <v>31</v>
      </c>
      <c r="B34" s="76">
        <f>'Analysis Worksheet'!C64</f>
        <v>0.02</v>
      </c>
      <c r="C34" s="75">
        <f t="shared" si="7"/>
        <v>49993.579721252529</v>
      </c>
      <c r="D34" s="77">
        <f>'Analysis Worksheet'!C34</f>
        <v>0</v>
      </c>
      <c r="E34" s="78">
        <f t="shared" si="0"/>
        <v>49993.579721252529</v>
      </c>
      <c r="F34" s="96">
        <f>'Analysis Worksheet'!C63</f>
        <v>0.02</v>
      </c>
      <c r="G34" s="87">
        <f t="shared" si="17"/>
        <v>15273.400877159473</v>
      </c>
      <c r="H34" s="75">
        <f>E34-G34</f>
        <v>34720.178844093054</v>
      </c>
      <c r="I34" s="137">
        <f>'Interest Calculations'!F365</f>
        <v>0</v>
      </c>
      <c r="J34" s="75">
        <f>I34+J33</f>
        <v>333638.95819411823</v>
      </c>
      <c r="K34" s="78">
        <f>H34-0</f>
        <v>34720.178844093054</v>
      </c>
      <c r="L34" s="79">
        <f t="shared" si="19"/>
        <v>1297359.0040110168</v>
      </c>
      <c r="M34" s="96">
        <f>'Analysis Worksheet'!C65</f>
        <v>0.04</v>
      </c>
      <c r="N34" s="137">
        <f t="shared" si="9"/>
        <v>51894.360160440672</v>
      </c>
      <c r="O34" s="142"/>
      <c r="P34" s="149"/>
      <c r="Q34" s="142"/>
      <c r="R34" s="149"/>
      <c r="S34" s="78">
        <f>'Loan Amortization 2nd Loan'!G386</f>
        <v>0</v>
      </c>
      <c r="T34" s="142"/>
      <c r="U34" s="142"/>
      <c r="V34" s="142"/>
      <c r="W34" s="142"/>
      <c r="X34" s="149"/>
      <c r="AB34" s="142"/>
      <c r="AC34" s="142"/>
      <c r="AD34" s="75"/>
      <c r="AE34" s="142"/>
      <c r="AF34" s="142"/>
      <c r="AG34" s="142"/>
      <c r="AH34" s="142"/>
      <c r="AI34" s="142"/>
    </row>
    <row r="35" spans="1:35" ht="15">
      <c r="A35" s="142"/>
      <c r="B35" s="142"/>
      <c r="C35" s="142"/>
      <c r="D35" s="142"/>
      <c r="E35" s="150"/>
      <c r="F35" s="151"/>
      <c r="G35" s="149"/>
      <c r="H35" s="142"/>
      <c r="I35" s="152"/>
      <c r="J35" s="142"/>
      <c r="K35" s="149"/>
      <c r="L35" s="142"/>
      <c r="M35" s="142"/>
      <c r="N35" s="152"/>
      <c r="O35" s="142"/>
      <c r="P35" s="149"/>
      <c r="Q35" s="142"/>
      <c r="R35" s="149"/>
      <c r="S35" s="149"/>
      <c r="T35" s="142"/>
      <c r="U35" s="142"/>
      <c r="V35" s="142"/>
      <c r="W35" s="142"/>
      <c r="X35" s="149"/>
      <c r="AB35" s="142"/>
      <c r="AC35" s="142"/>
      <c r="AD35" s="75"/>
      <c r="AE35" s="142"/>
      <c r="AF35" s="142"/>
      <c r="AG35" s="142"/>
      <c r="AH35" s="142"/>
      <c r="AI35" s="142"/>
    </row>
    <row r="36" spans="1:35">
      <c r="A36" s="142"/>
      <c r="B36" s="142"/>
      <c r="C36" s="389" t="s">
        <v>149</v>
      </c>
      <c r="D36" s="389"/>
      <c r="E36" s="389"/>
      <c r="F36" s="389"/>
      <c r="G36" s="389"/>
      <c r="H36" s="389"/>
      <c r="I36" s="389"/>
      <c r="J36" s="389"/>
      <c r="K36" s="149"/>
      <c r="L36" s="142"/>
      <c r="M36" s="142"/>
      <c r="N36" s="152"/>
      <c r="O36" s="142"/>
      <c r="P36" s="149"/>
      <c r="Q36" s="142"/>
      <c r="R36" s="149"/>
      <c r="S36" s="149"/>
      <c r="T36" s="142"/>
      <c r="U36" s="142"/>
      <c r="V36" s="142"/>
      <c r="W36" s="142"/>
      <c r="X36" s="149"/>
      <c r="AB36" s="142"/>
      <c r="AC36" s="142"/>
      <c r="AD36" s="142"/>
      <c r="AE36" s="142"/>
      <c r="AF36" s="142"/>
      <c r="AG36" s="142"/>
      <c r="AH36" s="142"/>
      <c r="AI36" s="142"/>
    </row>
    <row r="37" spans="1:35">
      <c r="A37" s="142"/>
      <c r="B37" s="142"/>
      <c r="C37" s="389"/>
      <c r="D37" s="389"/>
      <c r="E37" s="389"/>
      <c r="F37" s="389"/>
      <c r="G37" s="389"/>
      <c r="H37" s="389"/>
      <c r="I37" s="389"/>
      <c r="J37" s="389"/>
      <c r="K37" s="149"/>
      <c r="L37" s="142"/>
      <c r="M37" s="142"/>
      <c r="N37" s="152"/>
      <c r="O37" s="142"/>
      <c r="P37" s="149"/>
      <c r="Q37" s="142"/>
      <c r="R37" s="149"/>
      <c r="S37" s="149"/>
      <c r="T37" s="142"/>
      <c r="U37" s="142"/>
      <c r="V37" s="142"/>
      <c r="W37" s="142"/>
      <c r="X37" s="149"/>
      <c r="AB37" s="142"/>
      <c r="AC37" s="142"/>
      <c r="AD37" s="142"/>
      <c r="AE37" s="142"/>
      <c r="AF37" s="142"/>
      <c r="AG37" s="142"/>
      <c r="AH37" s="142"/>
      <c r="AI37" s="142"/>
    </row>
    <row r="38" spans="1:35">
      <c r="A38" s="142"/>
      <c r="B38" s="142"/>
      <c r="C38" s="389"/>
      <c r="D38" s="389"/>
      <c r="E38" s="389"/>
      <c r="F38" s="389"/>
      <c r="G38" s="389"/>
      <c r="H38" s="389"/>
      <c r="I38" s="389"/>
      <c r="J38" s="389"/>
      <c r="K38" s="149"/>
      <c r="L38" s="142"/>
      <c r="M38" s="142"/>
      <c r="N38" s="152"/>
      <c r="O38" s="142"/>
      <c r="P38" s="149"/>
      <c r="Q38" s="142"/>
      <c r="R38" s="149"/>
      <c r="S38" s="149"/>
      <c r="T38" s="142"/>
      <c r="U38" s="142"/>
      <c r="V38" s="142"/>
      <c r="W38" s="142"/>
      <c r="X38" s="149"/>
      <c r="AB38" s="142"/>
      <c r="AC38" s="142"/>
      <c r="AD38" s="142"/>
      <c r="AE38" s="142"/>
      <c r="AF38" s="142"/>
      <c r="AG38" s="142"/>
      <c r="AH38" s="142"/>
      <c r="AI38" s="142"/>
    </row>
    <row r="39" spans="1:35">
      <c r="A39" s="142"/>
      <c r="B39" s="142"/>
      <c r="C39" s="389"/>
      <c r="D39" s="389"/>
      <c r="E39" s="389"/>
      <c r="F39" s="389"/>
      <c r="G39" s="389"/>
      <c r="H39" s="389"/>
      <c r="I39" s="389"/>
      <c r="J39" s="389"/>
      <c r="K39" s="149"/>
      <c r="L39" s="142"/>
      <c r="M39" s="142"/>
      <c r="N39" s="152"/>
      <c r="O39" s="142"/>
      <c r="P39" s="149"/>
      <c r="Q39" s="142"/>
      <c r="R39" s="149"/>
      <c r="S39" s="149"/>
      <c r="T39" s="142"/>
      <c r="U39" s="142"/>
      <c r="V39" s="142"/>
      <c r="W39" s="142"/>
      <c r="X39" s="149"/>
      <c r="AB39" s="142"/>
      <c r="AC39" s="142"/>
      <c r="AD39" s="142"/>
      <c r="AE39" s="142"/>
      <c r="AF39" s="142"/>
      <c r="AG39" s="142"/>
      <c r="AH39" s="142"/>
      <c r="AI39" s="142"/>
    </row>
    <row r="40" spans="1:35">
      <c r="A40" s="142"/>
      <c r="B40" s="142"/>
      <c r="C40" s="389"/>
      <c r="D40" s="389"/>
      <c r="E40" s="389"/>
      <c r="F40" s="389"/>
      <c r="G40" s="389"/>
      <c r="H40" s="389"/>
      <c r="I40" s="389"/>
      <c r="J40" s="389"/>
      <c r="K40" s="149"/>
      <c r="L40" s="142"/>
      <c r="M40" s="142"/>
      <c r="N40" s="152"/>
      <c r="O40" s="142"/>
      <c r="P40" s="149"/>
      <c r="Q40" s="142"/>
      <c r="R40" s="149"/>
      <c r="S40" s="149"/>
      <c r="T40" s="142"/>
      <c r="U40" s="142"/>
      <c r="V40" s="142"/>
      <c r="W40" s="142"/>
      <c r="X40" s="149"/>
      <c r="AB40" s="142"/>
      <c r="AC40" s="142"/>
      <c r="AD40" s="142"/>
      <c r="AE40" s="142"/>
      <c r="AF40" s="142"/>
      <c r="AG40" s="142"/>
      <c r="AH40" s="142"/>
      <c r="AI40" s="142"/>
    </row>
  </sheetData>
  <sheetProtection algorithmName="SHA-512" hashValue="CRrd+xtc7IE9FlvOjaqXyBXHgivjzAuFChVcpfa0rBguQPhS+gG5hnUpUwjx8U1IyRQbNh4eTCzSI4Jzk7mDrQ==" saltValue="YbAGX5jsK1+lMgqtHM6geQ==" spinCount="100000" sheet="1" selectLockedCells="1"/>
  <mergeCells count="2">
    <mergeCell ref="C36:J40"/>
    <mergeCell ref="AJ3:AU3"/>
  </mergeCells>
  <phoneticPr fontId="3" type="noConversion"/>
  <pageMargins left="0.75" right="0.75" top="1" bottom="1" header="0.5" footer="0.5"/>
  <pageSetup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0D725-CFE0-4264-8471-96D52B61DFCB}">
  <dimension ref="A1:Q376"/>
  <sheetViews>
    <sheetView topLeftCell="A301" zoomScale="160" zoomScaleNormal="160" workbookViewId="0">
      <selection activeCell="A301" sqref="A301"/>
    </sheetView>
  </sheetViews>
  <sheetFormatPr defaultRowHeight="13.2"/>
  <cols>
    <col min="1" max="1" width="18.77734375" bestFit="1" customWidth="1"/>
    <col min="2" max="2" width="15.5546875" customWidth="1"/>
    <col min="3" max="3" width="12.77734375" customWidth="1"/>
    <col min="4" max="4" width="18.44140625" customWidth="1"/>
    <col min="5" max="5" width="16.44140625" bestFit="1" customWidth="1"/>
    <col min="6" max="6" width="4.77734375" customWidth="1"/>
    <col min="7" max="7" width="12.77734375" customWidth="1"/>
    <col min="8" max="8" width="18.21875" customWidth="1"/>
    <col min="9" max="9" width="9.77734375" bestFit="1" customWidth="1"/>
    <col min="12" max="12" width="10.21875" bestFit="1" customWidth="1"/>
    <col min="17" max="17" width="13.77734375" bestFit="1" customWidth="1"/>
  </cols>
  <sheetData>
    <row r="1" spans="1:17" ht="18" thickBot="1">
      <c r="A1" s="197" t="s">
        <v>70</v>
      </c>
      <c r="B1" s="198"/>
      <c r="C1" s="199"/>
      <c r="D1" s="199"/>
      <c r="E1" s="199"/>
      <c r="L1" s="157"/>
    </row>
    <row r="2" spans="1:17" ht="18">
      <c r="A2" s="211" t="s">
        <v>71</v>
      </c>
      <c r="B2" s="200">
        <f>'Analysis Worksheet'!F11</f>
        <v>313600</v>
      </c>
      <c r="C2" s="199"/>
      <c r="D2" s="196" t="s">
        <v>72</v>
      </c>
      <c r="E2" s="202">
        <f ca="1">MATCH(0,BalanceRange,0)-1</f>
        <v>360</v>
      </c>
      <c r="F2" s="159"/>
      <c r="K2" s="160"/>
      <c r="Q2" s="161"/>
    </row>
    <row r="3" spans="1:17" ht="18">
      <c r="A3" s="211" t="s">
        <v>73</v>
      </c>
      <c r="B3" s="203">
        <v>30</v>
      </c>
      <c r="C3" s="199"/>
      <c r="D3" s="196" t="s">
        <v>74</v>
      </c>
      <c r="E3" s="204">
        <f ca="1">SUM(OFFSET(BalanceRange,0,-3))</f>
        <v>313600.00000000017</v>
      </c>
      <c r="F3" s="162"/>
      <c r="K3" s="163"/>
    </row>
    <row r="4" spans="1:17" ht="18">
      <c r="A4" s="211" t="s">
        <v>75</v>
      </c>
      <c r="B4" s="205">
        <f>'Analysis Worksheet'!F12</f>
        <v>7.0000000000000007E-2</v>
      </c>
      <c r="C4" s="199"/>
      <c r="D4" s="196" t="s">
        <v>76</v>
      </c>
      <c r="E4" s="204">
        <f ca="1">SUM(OFFSET(BalanceRange,0,-2))</f>
        <v>0</v>
      </c>
      <c r="F4" s="162"/>
      <c r="H4" s="164"/>
      <c r="K4" s="163"/>
    </row>
    <row r="5" spans="1:17" ht="18">
      <c r="A5" s="211" t="s">
        <v>77</v>
      </c>
      <c r="B5" s="203">
        <v>12</v>
      </c>
      <c r="C5" s="199"/>
      <c r="D5" s="196" t="s">
        <v>78</v>
      </c>
      <c r="E5" s="204">
        <f ca="1">SUM(OFFSET(BalanceRange,0,-1))</f>
        <v>0</v>
      </c>
      <c r="F5" s="162"/>
    </row>
    <row r="6" spans="1:17" ht="18">
      <c r="A6" s="211" t="s">
        <v>79</v>
      </c>
      <c r="B6" s="206">
        <f>PMT(B$4/B$5,B$3*B$5,-B$2)</f>
        <v>2086.3886248819185</v>
      </c>
      <c r="C6" s="199"/>
      <c r="D6" s="196" t="s">
        <v>80</v>
      </c>
      <c r="E6" s="204">
        <f ca="1">SUM(E4:E5)</f>
        <v>0</v>
      </c>
      <c r="F6" s="162"/>
      <c r="K6" s="163"/>
    </row>
    <row r="7" spans="1:17" ht="18">
      <c r="A7" s="166" t="s">
        <v>81</v>
      </c>
      <c r="B7" s="207">
        <f>'Analysis Worksheet'!H59</f>
        <v>0</v>
      </c>
      <c r="C7" s="199"/>
      <c r="D7" s="196" t="s">
        <v>82</v>
      </c>
      <c r="E7" s="204">
        <f ca="1">SUM(E3:E5)</f>
        <v>313600.00000000017</v>
      </c>
      <c r="F7" s="162"/>
      <c r="K7" s="163"/>
      <c r="L7" s="192"/>
    </row>
    <row r="8" spans="1:17" ht="18">
      <c r="A8" s="211"/>
      <c r="B8" s="208"/>
      <c r="C8" s="199"/>
      <c r="D8" s="196" t="s">
        <v>83</v>
      </c>
      <c r="E8" s="204">
        <f ca="1">(B3*B5*B6-B2)-(E7-E6)</f>
        <v>123899.90495749045</v>
      </c>
      <c r="F8" s="162"/>
      <c r="K8" s="163"/>
    </row>
    <row r="9" spans="1:17" ht="18">
      <c r="A9" s="211" t="s">
        <v>84</v>
      </c>
      <c r="B9" s="209">
        <f ca="1">E2/12</f>
        <v>30</v>
      </c>
      <c r="C9" s="199"/>
      <c r="D9" s="201"/>
      <c r="E9" s="204"/>
      <c r="F9" s="162"/>
      <c r="K9" s="163"/>
      <c r="L9" s="192"/>
    </row>
    <row r="10" spans="1:17" ht="18">
      <c r="A10" s="158" t="s">
        <v>85</v>
      </c>
      <c r="B10" s="210">
        <f>ROUNDUP(NPER(B4/B5,B6+B7,-B2),0)/12</f>
        <v>30</v>
      </c>
      <c r="C10" s="199"/>
      <c r="D10" s="201"/>
      <c r="E10" s="204"/>
      <c r="F10" s="162"/>
      <c r="K10" s="163"/>
    </row>
    <row r="11" spans="1:17">
      <c r="B11" s="165"/>
      <c r="K11" s="163"/>
    </row>
    <row r="12" spans="1:17" ht="13.8" thickBot="1"/>
    <row r="13" spans="1:17" ht="14.4" thickBot="1">
      <c r="A13" s="167" t="s">
        <v>86</v>
      </c>
      <c r="B13" s="167" t="s">
        <v>79</v>
      </c>
      <c r="C13" s="167" t="s">
        <v>87</v>
      </c>
      <c r="D13" s="167" t="s">
        <v>88</v>
      </c>
      <c r="E13" s="167" t="s">
        <v>78</v>
      </c>
      <c r="F13" s="167"/>
      <c r="G13" s="167" t="s">
        <v>89</v>
      </c>
      <c r="H13" s="167" t="s">
        <v>90</v>
      </c>
    </row>
    <row r="14" spans="1:17">
      <c r="A14" s="168">
        <v>0</v>
      </c>
      <c r="B14" s="169"/>
      <c r="G14" s="170">
        <f>B2</f>
        <v>313600</v>
      </c>
    </row>
    <row r="15" spans="1:17">
      <c r="A15" s="168">
        <v>1</v>
      </c>
      <c r="B15" s="171">
        <f>IF($B$6&lt;=G14,$B$6,G14+G14*$B$4/$B$5)</f>
        <v>2086.3886248819185</v>
      </c>
      <c r="C15" s="171">
        <f>IF(B15&gt;0,$B$4/$B$5*G14,0)</f>
        <v>1829.3333333333335</v>
      </c>
      <c r="D15" s="171">
        <f>IF(B15&gt;0,MIN(B15-C15,G14),0)</f>
        <v>257.05529154858505</v>
      </c>
      <c r="E15" s="169">
        <f>IF(G14-D15&gt;=$B$7,$B$7,G14-D15)</f>
        <v>0</v>
      </c>
      <c r="F15" s="169"/>
      <c r="G15" s="170">
        <f>IF(ROUND(G14,5)&gt;0,G14-D15-E15,0)</f>
        <v>313342.9447084514</v>
      </c>
    </row>
    <row r="16" spans="1:17">
      <c r="A16" s="168">
        <v>2</v>
      </c>
      <c r="B16" s="171">
        <f t="shared" ref="B16:B79" si="0">IF($B$6&lt;=G15,$B$6,G15+G15*$B$4/$B$5)</f>
        <v>2086.3886248819185</v>
      </c>
      <c r="C16" s="171">
        <f t="shared" ref="C16:C79" si="1">IF(B16&gt;0,$B$4/$B$5*G15,0)</f>
        <v>1827.8338441326332</v>
      </c>
      <c r="D16" s="171">
        <f t="shared" ref="D16:D79" si="2">IF(B16&gt;0,MIN(B16-C16,G15),0)</f>
        <v>258.55478074928533</v>
      </c>
      <c r="E16" s="169">
        <f t="shared" ref="E16:E26" si="3">IF(G15-D16&gt;=$B$7,$B$7,G15-D16)</f>
        <v>0</v>
      </c>
      <c r="F16" s="169"/>
      <c r="G16" s="170">
        <f t="shared" ref="G16:G79" si="4">IF(ROUND(G15,5)&gt;0,G15-D16-E16,0)</f>
        <v>313084.38992770208</v>
      </c>
      <c r="K16" s="172"/>
      <c r="P16" s="173"/>
    </row>
    <row r="17" spans="1:13">
      <c r="A17" s="168">
        <v>3</v>
      </c>
      <c r="B17" s="171">
        <f t="shared" si="0"/>
        <v>2086.3886248819185</v>
      </c>
      <c r="C17" s="171">
        <f t="shared" si="1"/>
        <v>1826.3256079115956</v>
      </c>
      <c r="D17" s="171">
        <f t="shared" si="2"/>
        <v>260.06301697032291</v>
      </c>
      <c r="E17" s="169">
        <f t="shared" si="3"/>
        <v>0</v>
      </c>
      <c r="F17" s="169"/>
      <c r="G17" s="170">
        <f t="shared" si="4"/>
        <v>312824.32691073173</v>
      </c>
    </row>
    <row r="18" spans="1:13">
      <c r="A18" s="168">
        <v>4</v>
      </c>
      <c r="B18" s="171">
        <f t="shared" si="0"/>
        <v>2086.3886248819185</v>
      </c>
      <c r="C18" s="171">
        <f t="shared" si="1"/>
        <v>1824.8085736459352</v>
      </c>
      <c r="D18" s="171">
        <f t="shared" si="2"/>
        <v>261.58005123598332</v>
      </c>
      <c r="E18" s="169">
        <f t="shared" si="3"/>
        <v>0</v>
      </c>
      <c r="F18" s="169"/>
      <c r="G18" s="170">
        <f t="shared" si="4"/>
        <v>312562.74685949576</v>
      </c>
      <c r="M18" t="s">
        <v>91</v>
      </c>
    </row>
    <row r="19" spans="1:13">
      <c r="A19" s="168">
        <v>5</v>
      </c>
      <c r="B19" s="171">
        <f t="shared" si="0"/>
        <v>2086.3886248819185</v>
      </c>
      <c r="C19" s="171">
        <f t="shared" si="1"/>
        <v>1823.2826900137254</v>
      </c>
      <c r="D19" s="171">
        <f t="shared" si="2"/>
        <v>263.10593486819312</v>
      </c>
      <c r="E19" s="169">
        <f t="shared" si="3"/>
        <v>0</v>
      </c>
      <c r="F19" s="169"/>
      <c r="G19" s="170">
        <f t="shared" si="4"/>
        <v>312299.64092462754</v>
      </c>
    </row>
    <row r="20" spans="1:13">
      <c r="A20" s="168">
        <v>6</v>
      </c>
      <c r="B20" s="171">
        <f t="shared" si="0"/>
        <v>2086.3886248819185</v>
      </c>
      <c r="C20" s="171">
        <f t="shared" si="1"/>
        <v>1821.7479053936609</v>
      </c>
      <c r="D20" s="171">
        <f t="shared" si="2"/>
        <v>264.64071948825767</v>
      </c>
      <c r="E20" s="169">
        <f t="shared" si="3"/>
        <v>0</v>
      </c>
      <c r="F20" s="169"/>
      <c r="G20" s="170">
        <f t="shared" si="4"/>
        <v>312035.00020513928</v>
      </c>
    </row>
    <row r="21" spans="1:13">
      <c r="A21" s="168">
        <v>7</v>
      </c>
      <c r="B21" s="171">
        <f t="shared" si="0"/>
        <v>2086.3886248819185</v>
      </c>
      <c r="C21" s="171">
        <f t="shared" si="1"/>
        <v>1820.2041678633125</v>
      </c>
      <c r="D21" s="171">
        <f t="shared" si="2"/>
        <v>266.18445701860605</v>
      </c>
      <c r="E21" s="169">
        <f t="shared" si="3"/>
        <v>0</v>
      </c>
      <c r="F21" s="169"/>
      <c r="G21" s="170">
        <f t="shared" si="4"/>
        <v>311768.81574812066</v>
      </c>
    </row>
    <row r="22" spans="1:13">
      <c r="A22" s="168">
        <v>8</v>
      </c>
      <c r="B22" s="171">
        <f t="shared" si="0"/>
        <v>2086.3886248819185</v>
      </c>
      <c r="C22" s="171">
        <f t="shared" si="1"/>
        <v>1818.6514251973706</v>
      </c>
      <c r="D22" s="171">
        <f t="shared" si="2"/>
        <v>267.73719968454793</v>
      </c>
      <c r="E22" s="169">
        <f t="shared" si="3"/>
        <v>0</v>
      </c>
      <c r="F22" s="169"/>
      <c r="G22" s="170">
        <f t="shared" si="4"/>
        <v>311501.07854843611</v>
      </c>
    </row>
    <row r="23" spans="1:13">
      <c r="A23" s="168">
        <v>9</v>
      </c>
      <c r="B23" s="171">
        <f t="shared" si="0"/>
        <v>2086.3886248819185</v>
      </c>
      <c r="C23" s="171">
        <f t="shared" si="1"/>
        <v>1817.0896248658773</v>
      </c>
      <c r="D23" s="171">
        <f t="shared" si="2"/>
        <v>269.29900001604119</v>
      </c>
      <c r="E23" s="169">
        <f t="shared" si="3"/>
        <v>0</v>
      </c>
      <c r="F23" s="169"/>
      <c r="G23" s="170">
        <f t="shared" si="4"/>
        <v>311231.77954842005</v>
      </c>
    </row>
    <row r="24" spans="1:13">
      <c r="A24" s="168">
        <v>10</v>
      </c>
      <c r="B24" s="171">
        <f t="shared" si="0"/>
        <v>2086.3886248819185</v>
      </c>
      <c r="C24" s="171">
        <f t="shared" si="1"/>
        <v>1815.5187140324504</v>
      </c>
      <c r="D24" s="171">
        <f t="shared" si="2"/>
        <v>270.86991084946817</v>
      </c>
      <c r="E24" s="169">
        <f t="shared" si="3"/>
        <v>0</v>
      </c>
      <c r="F24" s="169"/>
      <c r="G24" s="170">
        <f t="shared" si="4"/>
        <v>310960.90963757056</v>
      </c>
    </row>
    <row r="25" spans="1:13">
      <c r="A25" s="168">
        <v>11</v>
      </c>
      <c r="B25" s="171">
        <f t="shared" si="0"/>
        <v>2086.3886248819185</v>
      </c>
      <c r="C25" s="171">
        <f t="shared" si="1"/>
        <v>1813.938639552495</v>
      </c>
      <c r="D25" s="171">
        <f t="shared" si="2"/>
        <v>272.4499853294235</v>
      </c>
      <c r="E25" s="169">
        <f t="shared" si="3"/>
        <v>0</v>
      </c>
      <c r="F25" s="169"/>
      <c r="G25" s="170">
        <f t="shared" si="4"/>
        <v>310688.45965224114</v>
      </c>
    </row>
    <row r="26" spans="1:13" s="181" customFormat="1">
      <c r="A26" s="177">
        <v>12</v>
      </c>
      <c r="B26" s="178">
        <f t="shared" si="0"/>
        <v>2086.3886248819185</v>
      </c>
      <c r="C26" s="178">
        <f t="shared" si="1"/>
        <v>1812.3493479714068</v>
      </c>
      <c r="D26" s="178">
        <f t="shared" si="2"/>
        <v>274.03927691051172</v>
      </c>
      <c r="E26" s="179">
        <f t="shared" si="3"/>
        <v>0</v>
      </c>
      <c r="F26" s="179"/>
      <c r="G26" s="180">
        <f t="shared" si="4"/>
        <v>310414.42037533061</v>
      </c>
      <c r="H26" s="182">
        <f>SUM(D15:D26)</f>
        <v>3185.5796246692262</v>
      </c>
    </row>
    <row r="27" spans="1:13" s="188" customFormat="1">
      <c r="A27" s="183">
        <v>13</v>
      </c>
      <c r="B27" s="184">
        <f t="shared" si="0"/>
        <v>2086.3886248819185</v>
      </c>
      <c r="C27" s="184">
        <f t="shared" si="1"/>
        <v>1810.750785522762</v>
      </c>
      <c r="D27" s="184">
        <f t="shared" si="2"/>
        <v>275.63783935915649</v>
      </c>
      <c r="E27" s="185">
        <f>IF(G26-D27&gt;=$B$7,$B$7,G26-D27)+H27</f>
        <v>0</v>
      </c>
      <c r="F27" s="185"/>
      <c r="G27" s="186">
        <f t="shared" si="4"/>
        <v>310138.78253597143</v>
      </c>
      <c r="H27" s="187"/>
    </row>
    <row r="28" spans="1:13">
      <c r="A28" s="168">
        <v>14</v>
      </c>
      <c r="B28" s="171">
        <f t="shared" si="0"/>
        <v>2086.3886248819185</v>
      </c>
      <c r="C28" s="171">
        <f t="shared" si="1"/>
        <v>1809.1428981265001</v>
      </c>
      <c r="D28" s="171">
        <f t="shared" si="2"/>
        <v>277.24572675541845</v>
      </c>
      <c r="E28" s="169">
        <f>IF(G27-D28&gt;=$B$7,E27,G27-D28)</f>
        <v>0</v>
      </c>
      <c r="F28" s="169"/>
      <c r="G28" s="170">
        <f t="shared" si="4"/>
        <v>309861.53680921602</v>
      </c>
    </row>
    <row r="29" spans="1:13">
      <c r="A29" s="168">
        <v>15</v>
      </c>
      <c r="B29" s="171">
        <f t="shared" si="0"/>
        <v>2086.3886248819185</v>
      </c>
      <c r="C29" s="171">
        <f t="shared" si="1"/>
        <v>1807.5256313870934</v>
      </c>
      <c r="D29" s="171">
        <f t="shared" si="2"/>
        <v>278.8629934948251</v>
      </c>
      <c r="E29" s="169">
        <f t="shared" ref="E29:E38" si="5">IF(G28-D29&gt;=$B$7,E28,G28-D29)</f>
        <v>0</v>
      </c>
      <c r="F29" s="169"/>
      <c r="G29" s="170">
        <f t="shared" si="4"/>
        <v>309582.67381572118</v>
      </c>
    </row>
    <row r="30" spans="1:13">
      <c r="A30" s="168">
        <v>16</v>
      </c>
      <c r="B30" s="171">
        <f t="shared" si="0"/>
        <v>2086.3886248819185</v>
      </c>
      <c r="C30" s="171">
        <f t="shared" si="1"/>
        <v>1805.8989305917069</v>
      </c>
      <c r="D30" s="171">
        <f t="shared" si="2"/>
        <v>280.48969429021167</v>
      </c>
      <c r="E30" s="169">
        <f t="shared" si="5"/>
        <v>0</v>
      </c>
      <c r="F30" s="169"/>
      <c r="G30" s="170">
        <f t="shared" si="4"/>
        <v>309302.18412143097</v>
      </c>
    </row>
    <row r="31" spans="1:13">
      <c r="A31" s="168">
        <v>17</v>
      </c>
      <c r="B31" s="171">
        <f t="shared" si="0"/>
        <v>2086.3886248819185</v>
      </c>
      <c r="C31" s="171">
        <f t="shared" si="1"/>
        <v>1804.2627407083473</v>
      </c>
      <c r="D31" s="171">
        <f t="shared" si="2"/>
        <v>282.12588417357119</v>
      </c>
      <c r="E31" s="169">
        <f t="shared" si="5"/>
        <v>0</v>
      </c>
      <c r="F31" s="169"/>
      <c r="G31" s="170">
        <f t="shared" si="4"/>
        <v>309020.05823725741</v>
      </c>
    </row>
    <row r="32" spans="1:13" ht="13.8">
      <c r="A32" s="168">
        <v>18</v>
      </c>
      <c r="B32" s="171">
        <f t="shared" si="0"/>
        <v>2086.3886248819185</v>
      </c>
      <c r="C32" s="171">
        <f t="shared" si="1"/>
        <v>1802.6170063840016</v>
      </c>
      <c r="D32" s="171">
        <f t="shared" si="2"/>
        <v>283.77161849791696</v>
      </c>
      <c r="E32" s="169">
        <f t="shared" si="5"/>
        <v>0</v>
      </c>
      <c r="F32" s="169"/>
      <c r="G32" s="170">
        <f t="shared" si="4"/>
        <v>308736.28661875951</v>
      </c>
      <c r="J32" s="174"/>
    </row>
    <row r="33" spans="1:8">
      <c r="A33" s="168">
        <v>19</v>
      </c>
      <c r="B33" s="171">
        <f t="shared" si="0"/>
        <v>2086.3886248819185</v>
      </c>
      <c r="C33" s="171">
        <f t="shared" si="1"/>
        <v>1800.9616719427638</v>
      </c>
      <c r="D33" s="171">
        <f t="shared" si="2"/>
        <v>285.42695293915472</v>
      </c>
      <c r="E33" s="169">
        <f t="shared" si="5"/>
        <v>0</v>
      </c>
      <c r="F33" s="169"/>
      <c r="G33" s="170">
        <f t="shared" si="4"/>
        <v>308450.85966582038</v>
      </c>
    </row>
    <row r="34" spans="1:8">
      <c r="A34" s="168">
        <v>20</v>
      </c>
      <c r="B34" s="171">
        <f t="shared" si="0"/>
        <v>2086.3886248819185</v>
      </c>
      <c r="C34" s="171">
        <f t="shared" si="1"/>
        <v>1799.2966813839523</v>
      </c>
      <c r="D34" s="171">
        <f t="shared" si="2"/>
        <v>287.09194349796621</v>
      </c>
      <c r="E34" s="169">
        <f t="shared" si="5"/>
        <v>0</v>
      </c>
      <c r="F34" s="169"/>
      <c r="G34" s="170">
        <f t="shared" si="4"/>
        <v>308163.76772232243</v>
      </c>
    </row>
    <row r="35" spans="1:8">
      <c r="A35" s="168">
        <v>21</v>
      </c>
      <c r="B35" s="171">
        <f t="shared" si="0"/>
        <v>2086.3886248819185</v>
      </c>
      <c r="C35" s="171">
        <f t="shared" si="1"/>
        <v>1797.6219783802142</v>
      </c>
      <c r="D35" s="171">
        <f t="shared" si="2"/>
        <v>288.76664650170437</v>
      </c>
      <c r="E35" s="169">
        <f t="shared" si="5"/>
        <v>0</v>
      </c>
      <c r="F35" s="169"/>
      <c r="G35" s="170">
        <f t="shared" si="4"/>
        <v>307875.00107582071</v>
      </c>
    </row>
    <row r="36" spans="1:8">
      <c r="A36" s="168">
        <v>22</v>
      </c>
      <c r="B36" s="171">
        <f t="shared" si="0"/>
        <v>2086.3886248819185</v>
      </c>
      <c r="C36" s="171">
        <f t="shared" si="1"/>
        <v>1795.9375062756208</v>
      </c>
      <c r="D36" s="171">
        <f t="shared" si="2"/>
        <v>290.45111860629777</v>
      </c>
      <c r="E36" s="169">
        <f t="shared" si="5"/>
        <v>0</v>
      </c>
      <c r="F36" s="169"/>
      <c r="G36" s="170">
        <f t="shared" si="4"/>
        <v>307584.54995721439</v>
      </c>
    </row>
    <row r="37" spans="1:8">
      <c r="A37" s="168">
        <v>23</v>
      </c>
      <c r="B37" s="171">
        <f t="shared" si="0"/>
        <v>2086.3886248819185</v>
      </c>
      <c r="C37" s="171">
        <f t="shared" si="1"/>
        <v>1794.2432080837507</v>
      </c>
      <c r="D37" s="171">
        <f t="shared" si="2"/>
        <v>292.14541679816784</v>
      </c>
      <c r="E37" s="169">
        <f t="shared" si="5"/>
        <v>0</v>
      </c>
      <c r="F37" s="169"/>
      <c r="G37" s="170">
        <f t="shared" si="4"/>
        <v>307292.4045404162</v>
      </c>
    </row>
    <row r="38" spans="1:8" s="181" customFormat="1">
      <c r="A38" s="177">
        <v>24</v>
      </c>
      <c r="B38" s="178">
        <f t="shared" si="0"/>
        <v>2086.3886248819185</v>
      </c>
      <c r="C38" s="178">
        <f t="shared" si="1"/>
        <v>1792.5390264857613</v>
      </c>
      <c r="D38" s="178">
        <f t="shared" si="2"/>
        <v>293.84959839615726</v>
      </c>
      <c r="E38" s="179">
        <f t="shared" si="5"/>
        <v>0</v>
      </c>
      <c r="F38" s="179"/>
      <c r="G38" s="180">
        <f t="shared" si="4"/>
        <v>306998.55494202004</v>
      </c>
      <c r="H38" s="182">
        <f>SUM(D27:D38)</f>
        <v>3415.8654333105487</v>
      </c>
    </row>
    <row r="39" spans="1:8" s="188" customFormat="1">
      <c r="A39" s="183">
        <v>25</v>
      </c>
      <c r="B39" s="184">
        <f t="shared" si="0"/>
        <v>2086.3886248819185</v>
      </c>
      <c r="C39" s="184">
        <f t="shared" si="1"/>
        <v>1790.8249038284503</v>
      </c>
      <c r="D39" s="184">
        <f t="shared" si="2"/>
        <v>295.56372105346827</v>
      </c>
      <c r="E39" s="185">
        <f>IF(G38-D39&gt;=$B$7,$B$7,G38-D39)+H39</f>
        <v>0</v>
      </c>
      <c r="F39" s="185"/>
      <c r="G39" s="186">
        <f t="shared" si="4"/>
        <v>306702.99122096656</v>
      </c>
      <c r="H39" s="187"/>
    </row>
    <row r="40" spans="1:8">
      <c r="A40" s="168">
        <v>26</v>
      </c>
      <c r="B40" s="171">
        <f t="shared" si="0"/>
        <v>2086.3886248819185</v>
      </c>
      <c r="C40" s="171">
        <f t="shared" si="1"/>
        <v>1789.100782122305</v>
      </c>
      <c r="D40" s="171">
        <f t="shared" si="2"/>
        <v>297.28784275961357</v>
      </c>
      <c r="E40" s="169">
        <f>IF(G39-D40&gt;=$B$7,E39,G39-D40)</f>
        <v>0</v>
      </c>
      <c r="F40" s="169"/>
      <c r="G40" s="170">
        <f t="shared" si="4"/>
        <v>306405.70337820693</v>
      </c>
    </row>
    <row r="41" spans="1:8">
      <c r="A41" s="168">
        <v>27</v>
      </c>
      <c r="B41" s="171">
        <f t="shared" si="0"/>
        <v>2086.3886248819185</v>
      </c>
      <c r="C41" s="171">
        <f t="shared" si="1"/>
        <v>1787.3666030395405</v>
      </c>
      <c r="D41" s="171">
        <f t="shared" si="2"/>
        <v>299.02202184237808</v>
      </c>
      <c r="E41" s="169">
        <f t="shared" ref="E41:E50" si="6">IF(G40-D41&gt;=$B$7,E40,G40-D41)</f>
        <v>0</v>
      </c>
      <c r="F41" s="169"/>
      <c r="G41" s="170">
        <f t="shared" si="4"/>
        <v>306106.68135636457</v>
      </c>
    </row>
    <row r="42" spans="1:8">
      <c r="A42" s="168">
        <v>28</v>
      </c>
      <c r="B42" s="171">
        <f t="shared" si="0"/>
        <v>2086.3886248819185</v>
      </c>
      <c r="C42" s="171">
        <f t="shared" si="1"/>
        <v>1785.6223079121266</v>
      </c>
      <c r="D42" s="171">
        <f t="shared" si="2"/>
        <v>300.76631696979189</v>
      </c>
      <c r="E42" s="169">
        <f t="shared" si="6"/>
        <v>0</v>
      </c>
      <c r="F42" s="169"/>
      <c r="G42" s="170">
        <f t="shared" si="4"/>
        <v>305805.91503939475</v>
      </c>
    </row>
    <row r="43" spans="1:8">
      <c r="A43" s="168">
        <v>29</v>
      </c>
      <c r="B43" s="171">
        <f t="shared" si="0"/>
        <v>2086.3886248819185</v>
      </c>
      <c r="C43" s="171">
        <f t="shared" si="1"/>
        <v>1783.8678377298029</v>
      </c>
      <c r="D43" s="171">
        <f t="shared" si="2"/>
        <v>302.52078715211564</v>
      </c>
      <c r="E43" s="169">
        <f t="shared" si="6"/>
        <v>0</v>
      </c>
      <c r="F43" s="169"/>
      <c r="G43" s="170">
        <f t="shared" si="4"/>
        <v>305503.39425224264</v>
      </c>
    </row>
    <row r="44" spans="1:8">
      <c r="A44" s="168">
        <v>30</v>
      </c>
      <c r="B44" s="171">
        <f t="shared" si="0"/>
        <v>2086.3886248819185</v>
      </c>
      <c r="C44" s="171">
        <f t="shared" si="1"/>
        <v>1782.1031331380821</v>
      </c>
      <c r="D44" s="171">
        <f t="shared" si="2"/>
        <v>304.28549174383647</v>
      </c>
      <c r="E44" s="169">
        <f t="shared" si="6"/>
        <v>0</v>
      </c>
      <c r="F44" s="169"/>
      <c r="G44" s="170">
        <f t="shared" si="4"/>
        <v>305199.10876049881</v>
      </c>
    </row>
    <row r="45" spans="1:8">
      <c r="A45" s="168">
        <v>31</v>
      </c>
      <c r="B45" s="171">
        <f t="shared" si="0"/>
        <v>2086.3886248819185</v>
      </c>
      <c r="C45" s="171">
        <f t="shared" si="1"/>
        <v>1780.3281344362431</v>
      </c>
      <c r="D45" s="171">
        <f t="shared" si="2"/>
        <v>306.06049044567544</v>
      </c>
      <c r="E45" s="169">
        <f t="shared" si="6"/>
        <v>0</v>
      </c>
      <c r="F45" s="169"/>
      <c r="G45" s="170">
        <f t="shared" si="4"/>
        <v>304893.04827005311</v>
      </c>
    </row>
    <row r="46" spans="1:8">
      <c r="A46" s="168">
        <v>32</v>
      </c>
      <c r="B46" s="171">
        <f t="shared" si="0"/>
        <v>2086.3886248819185</v>
      </c>
      <c r="C46" s="171">
        <f t="shared" si="1"/>
        <v>1778.5427815753098</v>
      </c>
      <c r="D46" s="171">
        <f t="shared" si="2"/>
        <v>307.84584330660869</v>
      </c>
      <c r="E46" s="169">
        <f t="shared" si="6"/>
        <v>0</v>
      </c>
      <c r="F46" s="169"/>
      <c r="G46" s="170">
        <f t="shared" si="4"/>
        <v>304585.20242674649</v>
      </c>
    </row>
    <row r="47" spans="1:8">
      <c r="A47" s="168">
        <v>33</v>
      </c>
      <c r="B47" s="171">
        <f t="shared" si="0"/>
        <v>2086.3886248819185</v>
      </c>
      <c r="C47" s="171">
        <f t="shared" si="1"/>
        <v>1776.7470141560214</v>
      </c>
      <c r="D47" s="171">
        <f t="shared" si="2"/>
        <v>309.64161072589718</v>
      </c>
      <c r="E47" s="169">
        <f t="shared" si="6"/>
        <v>0</v>
      </c>
      <c r="F47" s="169"/>
      <c r="G47" s="170">
        <f t="shared" si="4"/>
        <v>304275.56081602059</v>
      </c>
    </row>
    <row r="48" spans="1:8">
      <c r="A48" s="168">
        <v>34</v>
      </c>
      <c r="B48" s="171">
        <f t="shared" si="0"/>
        <v>2086.3886248819185</v>
      </c>
      <c r="C48" s="171">
        <f t="shared" si="1"/>
        <v>1774.9407714267868</v>
      </c>
      <c r="D48" s="171">
        <f t="shared" si="2"/>
        <v>311.44785345513174</v>
      </c>
      <c r="E48" s="169">
        <f t="shared" si="6"/>
        <v>0</v>
      </c>
      <c r="F48" s="169"/>
      <c r="G48" s="170">
        <f t="shared" si="4"/>
        <v>303964.11296256544</v>
      </c>
    </row>
    <row r="49" spans="1:8">
      <c r="A49" s="168">
        <v>35</v>
      </c>
      <c r="B49" s="171">
        <f t="shared" si="0"/>
        <v>2086.3886248819185</v>
      </c>
      <c r="C49" s="171">
        <f t="shared" si="1"/>
        <v>1773.1239922816319</v>
      </c>
      <c r="D49" s="171">
        <f t="shared" si="2"/>
        <v>313.26463260028663</v>
      </c>
      <c r="E49" s="169">
        <f t="shared" si="6"/>
        <v>0</v>
      </c>
      <c r="F49" s="169"/>
      <c r="G49" s="170">
        <f t="shared" si="4"/>
        <v>303650.84832996514</v>
      </c>
    </row>
    <row r="50" spans="1:8" s="181" customFormat="1">
      <c r="A50" s="177">
        <v>36</v>
      </c>
      <c r="B50" s="178">
        <f t="shared" si="0"/>
        <v>2086.3886248819185</v>
      </c>
      <c r="C50" s="178">
        <f t="shared" si="1"/>
        <v>1771.29661525813</v>
      </c>
      <c r="D50" s="178">
        <f t="shared" si="2"/>
        <v>315.0920096237885</v>
      </c>
      <c r="E50" s="179">
        <f t="shared" si="6"/>
        <v>0</v>
      </c>
      <c r="F50" s="179"/>
      <c r="G50" s="180">
        <f t="shared" si="4"/>
        <v>303335.75632034137</v>
      </c>
      <c r="H50" s="182">
        <f>SUM(D39:D50)</f>
        <v>3662.798621678593</v>
      </c>
    </row>
    <row r="51" spans="1:8">
      <c r="A51" s="168">
        <v>37</v>
      </c>
      <c r="B51" s="189">
        <f t="shared" si="0"/>
        <v>2086.3886248819185</v>
      </c>
      <c r="C51" s="189">
        <f t="shared" si="1"/>
        <v>1769.4585785353247</v>
      </c>
      <c r="D51" s="189">
        <f t="shared" si="2"/>
        <v>316.93004634659383</v>
      </c>
      <c r="E51" s="190">
        <f>IF(G50-D51&gt;=$B$7,$B$7,G50-D51)+H51</f>
        <v>0</v>
      </c>
      <c r="F51" s="190"/>
      <c r="G51" s="191">
        <f t="shared" si="4"/>
        <v>303018.82627399475</v>
      </c>
      <c r="H51" s="157"/>
    </row>
    <row r="52" spans="1:8">
      <c r="A52" s="168">
        <v>38</v>
      </c>
      <c r="B52" s="171">
        <f t="shared" si="0"/>
        <v>2086.3886248819185</v>
      </c>
      <c r="C52" s="171">
        <f t="shared" si="1"/>
        <v>1767.6098199316361</v>
      </c>
      <c r="D52" s="171">
        <f t="shared" si="2"/>
        <v>318.77880495028239</v>
      </c>
      <c r="E52" s="169">
        <f>IF(G51-D52&gt;=$B$7,E51,G51-D52)</f>
        <v>0</v>
      </c>
      <c r="F52" s="169"/>
      <c r="G52" s="170">
        <f t="shared" si="4"/>
        <v>302700.04746904445</v>
      </c>
    </row>
    <row r="53" spans="1:8">
      <c r="A53" s="168">
        <v>39</v>
      </c>
      <c r="B53" s="171">
        <f t="shared" si="0"/>
        <v>2086.3886248819185</v>
      </c>
      <c r="C53" s="171">
        <f t="shared" si="1"/>
        <v>1765.7502769027594</v>
      </c>
      <c r="D53" s="171">
        <f t="shared" si="2"/>
        <v>320.63834797915911</v>
      </c>
      <c r="E53" s="169">
        <f t="shared" ref="E53:E62" si="7">IF(G52-D53&gt;=$B$7,E52,G52-D53)</f>
        <v>0</v>
      </c>
      <c r="F53" s="169"/>
      <c r="G53" s="170">
        <f t="shared" si="4"/>
        <v>302379.40912106528</v>
      </c>
    </row>
    <row r="54" spans="1:8">
      <c r="A54" s="168">
        <v>40</v>
      </c>
      <c r="B54" s="171">
        <f t="shared" si="0"/>
        <v>2086.3886248819185</v>
      </c>
      <c r="C54" s="171">
        <f t="shared" si="1"/>
        <v>1763.8798865395477</v>
      </c>
      <c r="D54" s="171">
        <f t="shared" si="2"/>
        <v>322.50873834237086</v>
      </c>
      <c r="E54" s="169">
        <f t="shared" si="7"/>
        <v>0</v>
      </c>
      <c r="F54" s="169"/>
      <c r="G54" s="170">
        <f t="shared" si="4"/>
        <v>302056.9003827229</v>
      </c>
    </row>
    <row r="55" spans="1:8">
      <c r="A55" s="168">
        <v>41</v>
      </c>
      <c r="B55" s="171">
        <f t="shared" si="0"/>
        <v>2086.3886248819185</v>
      </c>
      <c r="C55" s="171">
        <f t="shared" si="1"/>
        <v>1761.9985855658838</v>
      </c>
      <c r="D55" s="171">
        <f t="shared" si="2"/>
        <v>324.39003931603474</v>
      </c>
      <c r="E55" s="169">
        <f t="shared" si="7"/>
        <v>0</v>
      </c>
      <c r="F55" s="169"/>
      <c r="G55" s="170">
        <f t="shared" si="4"/>
        <v>301732.51034340687</v>
      </c>
    </row>
    <row r="56" spans="1:8">
      <c r="A56" s="168">
        <v>42</v>
      </c>
      <c r="B56" s="171">
        <f t="shared" si="0"/>
        <v>2086.3886248819185</v>
      </c>
      <c r="C56" s="171">
        <f t="shared" si="1"/>
        <v>1760.1063103365402</v>
      </c>
      <c r="D56" s="171">
        <f t="shared" si="2"/>
        <v>326.28231454537831</v>
      </c>
      <c r="E56" s="169">
        <f t="shared" si="7"/>
        <v>0</v>
      </c>
      <c r="F56" s="169"/>
      <c r="G56" s="170">
        <f t="shared" si="4"/>
        <v>301406.22802886151</v>
      </c>
    </row>
    <row r="57" spans="1:8">
      <c r="A57" s="168">
        <v>43</v>
      </c>
      <c r="B57" s="171">
        <f t="shared" si="0"/>
        <v>2086.3886248819185</v>
      </c>
      <c r="C57" s="171">
        <f t="shared" si="1"/>
        <v>1758.2029968350255</v>
      </c>
      <c r="D57" s="171">
        <f t="shared" si="2"/>
        <v>328.18562804689304</v>
      </c>
      <c r="E57" s="169">
        <f t="shared" si="7"/>
        <v>0</v>
      </c>
      <c r="F57" s="169"/>
      <c r="G57" s="170">
        <f t="shared" si="4"/>
        <v>301078.04240081459</v>
      </c>
    </row>
    <row r="58" spans="1:8">
      <c r="A58" s="168">
        <v>44</v>
      </c>
      <c r="B58" s="171">
        <f t="shared" si="0"/>
        <v>2086.3886248819185</v>
      </c>
      <c r="C58" s="171">
        <f t="shared" si="1"/>
        <v>1756.2885806714185</v>
      </c>
      <c r="D58" s="171">
        <f t="shared" si="2"/>
        <v>330.10004421050007</v>
      </c>
      <c r="E58" s="169">
        <f t="shared" si="7"/>
        <v>0</v>
      </c>
      <c r="F58" s="169"/>
      <c r="G58" s="170">
        <f t="shared" si="4"/>
        <v>300747.94235660409</v>
      </c>
    </row>
    <row r="59" spans="1:8">
      <c r="A59" s="168">
        <v>45</v>
      </c>
      <c r="B59" s="171">
        <f t="shared" si="0"/>
        <v>2086.3886248819185</v>
      </c>
      <c r="C59" s="171">
        <f t="shared" si="1"/>
        <v>1754.3629970801906</v>
      </c>
      <c r="D59" s="171">
        <f t="shared" si="2"/>
        <v>332.02562780172798</v>
      </c>
      <c r="E59" s="169">
        <f t="shared" si="7"/>
        <v>0</v>
      </c>
      <c r="F59" s="169"/>
      <c r="G59" s="170">
        <f t="shared" si="4"/>
        <v>300415.91672880237</v>
      </c>
    </row>
    <row r="60" spans="1:8">
      <c r="A60" s="168">
        <v>46</v>
      </c>
      <c r="B60" s="171">
        <f t="shared" si="0"/>
        <v>2086.3886248819185</v>
      </c>
      <c r="C60" s="171">
        <f t="shared" si="1"/>
        <v>1752.4261809180139</v>
      </c>
      <c r="D60" s="171">
        <f t="shared" si="2"/>
        <v>333.96244396390466</v>
      </c>
      <c r="E60" s="169">
        <f t="shared" si="7"/>
        <v>0</v>
      </c>
      <c r="F60" s="169"/>
      <c r="G60" s="170">
        <f t="shared" si="4"/>
        <v>300081.95428483846</v>
      </c>
    </row>
    <row r="61" spans="1:8">
      <c r="A61" s="168">
        <v>47</v>
      </c>
      <c r="B61" s="171">
        <f t="shared" si="0"/>
        <v>2086.3886248819185</v>
      </c>
      <c r="C61" s="171">
        <f t="shared" si="1"/>
        <v>1750.4780666615577</v>
      </c>
      <c r="D61" s="171">
        <f t="shared" si="2"/>
        <v>335.91055822036083</v>
      </c>
      <c r="E61" s="169">
        <f t="shared" si="7"/>
        <v>0</v>
      </c>
      <c r="F61" s="169"/>
      <c r="G61" s="170">
        <f t="shared" si="4"/>
        <v>299746.04372661811</v>
      </c>
    </row>
    <row r="62" spans="1:8" s="181" customFormat="1">
      <c r="A62" s="177">
        <v>48</v>
      </c>
      <c r="B62" s="178">
        <f t="shared" si="0"/>
        <v>2086.3886248819185</v>
      </c>
      <c r="C62" s="178">
        <f t="shared" si="1"/>
        <v>1748.5185884052723</v>
      </c>
      <c r="D62" s="178">
        <f t="shared" si="2"/>
        <v>337.87003647664619</v>
      </c>
      <c r="E62" s="179">
        <f t="shared" si="7"/>
        <v>0</v>
      </c>
      <c r="F62" s="179"/>
      <c r="G62" s="180">
        <f t="shared" si="4"/>
        <v>299408.17369014147</v>
      </c>
      <c r="H62" s="182">
        <f>SUM(D51:D62)</f>
        <v>3927.5826301998522</v>
      </c>
    </row>
    <row r="63" spans="1:8" s="181" customFormat="1">
      <c r="A63" s="177">
        <v>49</v>
      </c>
      <c r="B63" s="178">
        <f t="shared" si="0"/>
        <v>2086.3886248819185</v>
      </c>
      <c r="C63" s="178">
        <f t="shared" si="1"/>
        <v>1746.5476798591587</v>
      </c>
      <c r="D63" s="178">
        <f t="shared" si="2"/>
        <v>339.8409450227598</v>
      </c>
      <c r="E63" s="178">
        <f>IF(G62-D63&gt;=$B$7,$B$7,G62-D63)+H63</f>
        <v>0</v>
      </c>
      <c r="F63" s="178"/>
      <c r="G63" s="180">
        <f t="shared" si="4"/>
        <v>299068.33274511871</v>
      </c>
      <c r="H63" s="182"/>
    </row>
    <row r="64" spans="1:8">
      <c r="A64" s="168">
        <v>50</v>
      </c>
      <c r="B64" s="171">
        <f t="shared" si="0"/>
        <v>2086.3886248819185</v>
      </c>
      <c r="C64" s="171">
        <f t="shared" si="1"/>
        <v>1744.5652743465259</v>
      </c>
      <c r="D64" s="171">
        <f t="shared" si="2"/>
        <v>341.82335053539259</v>
      </c>
      <c r="E64" s="169">
        <f>IF(G63-D64&gt;=$B$7,E63,G63-D64)</f>
        <v>0</v>
      </c>
      <c r="F64" s="169"/>
      <c r="G64" s="170">
        <f t="shared" si="4"/>
        <v>298726.50939458329</v>
      </c>
    </row>
    <row r="65" spans="1:8">
      <c r="A65" s="168">
        <v>51</v>
      </c>
      <c r="B65" s="171">
        <f t="shared" si="0"/>
        <v>2086.3886248819185</v>
      </c>
      <c r="C65" s="171">
        <f t="shared" si="1"/>
        <v>1742.571304801736</v>
      </c>
      <c r="D65" s="171">
        <f t="shared" si="2"/>
        <v>343.81732008018253</v>
      </c>
      <c r="E65" s="169">
        <f t="shared" ref="E65:E74" si="8">IF(G64-D65&gt;=$B$7,E64,G64-D65)</f>
        <v>0</v>
      </c>
      <c r="F65" s="169"/>
      <c r="G65" s="170">
        <f t="shared" si="4"/>
        <v>298382.69207450311</v>
      </c>
    </row>
    <row r="66" spans="1:8">
      <c r="A66" s="168">
        <v>52</v>
      </c>
      <c r="B66" s="171">
        <f t="shared" si="0"/>
        <v>2086.3886248819185</v>
      </c>
      <c r="C66" s="171">
        <f t="shared" si="1"/>
        <v>1740.5657037679348</v>
      </c>
      <c r="D66" s="171">
        <f t="shared" si="2"/>
        <v>345.82292111398374</v>
      </c>
      <c r="E66" s="169">
        <f t="shared" si="8"/>
        <v>0</v>
      </c>
      <c r="F66" s="169"/>
      <c r="G66" s="170">
        <f t="shared" si="4"/>
        <v>298036.86915338913</v>
      </c>
    </row>
    <row r="67" spans="1:8">
      <c r="A67" s="168">
        <v>53</v>
      </c>
      <c r="B67" s="171">
        <f t="shared" si="0"/>
        <v>2086.3886248819185</v>
      </c>
      <c r="C67" s="171">
        <f t="shared" si="1"/>
        <v>1738.54840339477</v>
      </c>
      <c r="D67" s="171">
        <f t="shared" si="2"/>
        <v>347.84022148714848</v>
      </c>
      <c r="E67" s="169">
        <f t="shared" si="8"/>
        <v>0</v>
      </c>
      <c r="F67" s="169"/>
      <c r="G67" s="170">
        <f t="shared" si="4"/>
        <v>297689.02893190196</v>
      </c>
    </row>
    <row r="68" spans="1:8">
      <c r="A68" s="168">
        <v>54</v>
      </c>
      <c r="B68" s="171">
        <f t="shared" si="0"/>
        <v>2086.3886248819185</v>
      </c>
      <c r="C68" s="171">
        <f t="shared" si="1"/>
        <v>1736.5193354360949</v>
      </c>
      <c r="D68" s="171">
        <f t="shared" si="2"/>
        <v>349.8692894458236</v>
      </c>
      <c r="E68" s="169">
        <f t="shared" si="8"/>
        <v>0</v>
      </c>
      <c r="F68" s="169"/>
      <c r="G68" s="170">
        <f t="shared" si="4"/>
        <v>297339.15964245616</v>
      </c>
    </row>
    <row r="69" spans="1:8">
      <c r="A69" s="168">
        <v>55</v>
      </c>
      <c r="B69" s="171">
        <f t="shared" si="0"/>
        <v>2086.3886248819185</v>
      </c>
      <c r="C69" s="171">
        <f t="shared" si="1"/>
        <v>1734.4784312476611</v>
      </c>
      <c r="D69" s="171">
        <f t="shared" si="2"/>
        <v>351.91019363425744</v>
      </c>
      <c r="E69" s="169">
        <f t="shared" si="8"/>
        <v>0</v>
      </c>
      <c r="F69" s="169"/>
      <c r="G69" s="170">
        <f t="shared" si="4"/>
        <v>296987.24944882188</v>
      </c>
    </row>
    <row r="70" spans="1:8">
      <c r="A70" s="168">
        <v>56</v>
      </c>
      <c r="B70" s="171">
        <f t="shared" si="0"/>
        <v>2086.3886248819185</v>
      </c>
      <c r="C70" s="171">
        <f t="shared" si="1"/>
        <v>1732.4256217847944</v>
      </c>
      <c r="D70" s="171">
        <f t="shared" si="2"/>
        <v>353.9630030971241</v>
      </c>
      <c r="E70" s="169">
        <f t="shared" si="8"/>
        <v>0</v>
      </c>
      <c r="F70" s="169"/>
      <c r="G70" s="170">
        <f t="shared" si="4"/>
        <v>296633.28644572478</v>
      </c>
    </row>
    <row r="71" spans="1:8">
      <c r="A71" s="168">
        <v>57</v>
      </c>
      <c r="B71" s="171">
        <f t="shared" si="0"/>
        <v>2086.3886248819185</v>
      </c>
      <c r="C71" s="171">
        <f t="shared" si="1"/>
        <v>1730.3608376000614</v>
      </c>
      <c r="D71" s="171">
        <f t="shared" si="2"/>
        <v>356.02778728185717</v>
      </c>
      <c r="E71" s="169">
        <f t="shared" si="8"/>
        <v>0</v>
      </c>
      <c r="F71" s="169"/>
      <c r="G71" s="170">
        <f t="shared" si="4"/>
        <v>296277.25865844294</v>
      </c>
    </row>
    <row r="72" spans="1:8">
      <c r="A72" s="168">
        <v>58</v>
      </c>
      <c r="B72" s="171">
        <f t="shared" si="0"/>
        <v>2086.3886248819185</v>
      </c>
      <c r="C72" s="171">
        <f t="shared" si="1"/>
        <v>1728.2840088409173</v>
      </c>
      <c r="D72" s="171">
        <f t="shared" si="2"/>
        <v>358.10461604100124</v>
      </c>
      <c r="E72" s="169">
        <f t="shared" si="8"/>
        <v>0</v>
      </c>
      <c r="F72" s="169"/>
      <c r="G72" s="170">
        <f t="shared" si="4"/>
        <v>295919.15404240193</v>
      </c>
    </row>
    <row r="73" spans="1:8">
      <c r="A73" s="168">
        <v>59</v>
      </c>
      <c r="B73" s="171">
        <f t="shared" si="0"/>
        <v>2086.3886248819185</v>
      </c>
      <c r="C73" s="171">
        <f t="shared" si="1"/>
        <v>1726.1950652473447</v>
      </c>
      <c r="D73" s="171">
        <f t="shared" si="2"/>
        <v>360.19355963457383</v>
      </c>
      <c r="E73" s="169">
        <f t="shared" si="8"/>
        <v>0</v>
      </c>
      <c r="F73" s="169"/>
      <c r="G73" s="170">
        <f t="shared" si="4"/>
        <v>295558.96048276738</v>
      </c>
    </row>
    <row r="74" spans="1:8" s="181" customFormat="1">
      <c r="A74" s="177">
        <v>60</v>
      </c>
      <c r="B74" s="178">
        <f t="shared" si="0"/>
        <v>2086.3886248819185</v>
      </c>
      <c r="C74" s="178">
        <f t="shared" si="1"/>
        <v>1724.0939361494763</v>
      </c>
      <c r="D74" s="178">
        <f t="shared" si="2"/>
        <v>362.29468873244218</v>
      </c>
      <c r="E74" s="179">
        <f t="shared" si="8"/>
        <v>0</v>
      </c>
      <c r="F74" s="179"/>
      <c r="G74" s="180">
        <f t="shared" si="4"/>
        <v>295196.66579403495</v>
      </c>
      <c r="H74" s="182">
        <f>SUM(D63:D74)</f>
        <v>4211.5078961065465</v>
      </c>
    </row>
    <row r="75" spans="1:8" s="181" customFormat="1">
      <c r="A75" s="177">
        <v>61</v>
      </c>
      <c r="B75" s="178">
        <f t="shared" si="0"/>
        <v>2086.3886248819185</v>
      </c>
      <c r="C75" s="178">
        <f t="shared" si="1"/>
        <v>1721.980550465204</v>
      </c>
      <c r="D75" s="178">
        <f t="shared" si="2"/>
        <v>364.4080744167145</v>
      </c>
      <c r="E75" s="178">
        <f>IF(G74-D75&gt;=$B$7,$B$7,G74-D75)+H75</f>
        <v>0</v>
      </c>
      <c r="F75" s="178"/>
      <c r="G75" s="180">
        <f t="shared" si="4"/>
        <v>294832.25771961827</v>
      </c>
      <c r="H75" s="182">
        <f>+H63+B8</f>
        <v>0</v>
      </c>
    </row>
    <row r="76" spans="1:8">
      <c r="A76" s="168">
        <v>62</v>
      </c>
      <c r="B76" s="171">
        <f t="shared" si="0"/>
        <v>2086.3886248819185</v>
      </c>
      <c r="C76" s="171">
        <f t="shared" si="1"/>
        <v>1719.8548366977734</v>
      </c>
      <c r="D76" s="171">
        <f t="shared" si="2"/>
        <v>366.53378818414512</v>
      </c>
      <c r="E76" s="169">
        <f>IF(G75-D76&gt;=$B$7,E75,G75-D76)</f>
        <v>0</v>
      </c>
      <c r="F76" s="169"/>
      <c r="G76" s="170">
        <f t="shared" si="4"/>
        <v>294465.7239314341</v>
      </c>
    </row>
    <row r="77" spans="1:8">
      <c r="A77" s="168">
        <v>63</v>
      </c>
      <c r="B77" s="171">
        <f t="shared" si="0"/>
        <v>2086.3886248819185</v>
      </c>
      <c r="C77" s="171">
        <f t="shared" si="1"/>
        <v>1717.7167229333656</v>
      </c>
      <c r="D77" s="171">
        <f t="shared" si="2"/>
        <v>368.67190194855289</v>
      </c>
      <c r="E77" s="169">
        <f t="shared" ref="E77:E86" si="9">IF(G76-D77&gt;=$B$7,E76,G76-D77)</f>
        <v>0</v>
      </c>
      <c r="F77" s="169"/>
      <c r="G77" s="170">
        <f t="shared" si="4"/>
        <v>294097.05202948552</v>
      </c>
    </row>
    <row r="78" spans="1:8">
      <c r="A78" s="168">
        <v>64</v>
      </c>
      <c r="B78" s="171">
        <f t="shared" si="0"/>
        <v>2086.3886248819185</v>
      </c>
      <c r="C78" s="171">
        <f t="shared" si="1"/>
        <v>1715.5661368386657</v>
      </c>
      <c r="D78" s="171">
        <f t="shared" si="2"/>
        <v>370.82248804325286</v>
      </c>
      <c r="E78" s="169">
        <f t="shared" si="9"/>
        <v>0</v>
      </c>
      <c r="F78" s="169"/>
      <c r="G78" s="170">
        <f t="shared" si="4"/>
        <v>293726.2295414423</v>
      </c>
    </row>
    <row r="79" spans="1:8">
      <c r="A79" s="168">
        <v>65</v>
      </c>
      <c r="B79" s="171">
        <f t="shared" si="0"/>
        <v>2086.3886248819185</v>
      </c>
      <c r="C79" s="171">
        <f t="shared" si="1"/>
        <v>1713.4030056584136</v>
      </c>
      <c r="D79" s="171">
        <f t="shared" si="2"/>
        <v>372.98561922350495</v>
      </c>
      <c r="E79" s="169">
        <f t="shared" si="9"/>
        <v>0</v>
      </c>
      <c r="F79" s="169"/>
      <c r="G79" s="170">
        <f t="shared" si="4"/>
        <v>293353.2439222188</v>
      </c>
    </row>
    <row r="80" spans="1:8">
      <c r="A80" s="168">
        <v>66</v>
      </c>
      <c r="B80" s="171">
        <f t="shared" ref="B80:B143" si="10">IF($B$6&lt;=G79,$B$6,G79+G79*$B$4/$B$5)</f>
        <v>2086.3886248819185</v>
      </c>
      <c r="C80" s="171">
        <f t="shared" ref="C80:C143" si="11">IF(B80&gt;0,$B$4/$B$5*G79,0)</f>
        <v>1711.2272562129431</v>
      </c>
      <c r="D80" s="171">
        <f t="shared" ref="D80:D143" si="12">IF(B80&gt;0,MIN(B80-C80,G79),0)</f>
        <v>375.16136866897546</v>
      </c>
      <c r="E80" s="169">
        <f t="shared" si="9"/>
        <v>0</v>
      </c>
      <c r="F80" s="169"/>
      <c r="G80" s="170">
        <f t="shared" ref="G80:G143" si="13">IF(ROUND(G79,5)&gt;0,G79-D80-E80,0)</f>
        <v>292978.08255354984</v>
      </c>
    </row>
    <row r="81" spans="1:8">
      <c r="A81" s="168">
        <v>67</v>
      </c>
      <c r="B81" s="171">
        <f t="shared" si="10"/>
        <v>2086.3886248819185</v>
      </c>
      <c r="C81" s="171">
        <f t="shared" si="11"/>
        <v>1709.0388148957074</v>
      </c>
      <c r="D81" s="171">
        <f t="shared" si="12"/>
        <v>377.34980998621108</v>
      </c>
      <c r="E81" s="169">
        <f t="shared" si="9"/>
        <v>0</v>
      </c>
      <c r="F81" s="169"/>
      <c r="G81" s="170">
        <f t="shared" si="13"/>
        <v>292600.73274356365</v>
      </c>
    </row>
    <row r="82" spans="1:8">
      <c r="A82" s="168">
        <v>68</v>
      </c>
      <c r="B82" s="171">
        <f t="shared" si="10"/>
        <v>2086.3886248819185</v>
      </c>
      <c r="C82" s="171">
        <f t="shared" si="11"/>
        <v>1706.837607670788</v>
      </c>
      <c r="D82" s="171">
        <f t="shared" si="12"/>
        <v>379.55101721113056</v>
      </c>
      <c r="E82" s="169">
        <f t="shared" si="9"/>
        <v>0</v>
      </c>
      <c r="F82" s="169"/>
      <c r="G82" s="170">
        <f t="shared" si="13"/>
        <v>292221.18172635254</v>
      </c>
    </row>
    <row r="83" spans="1:8">
      <c r="A83" s="168">
        <v>69</v>
      </c>
      <c r="B83" s="171">
        <f t="shared" si="10"/>
        <v>2086.3886248819185</v>
      </c>
      <c r="C83" s="171">
        <f t="shared" si="11"/>
        <v>1704.6235600703899</v>
      </c>
      <c r="D83" s="171">
        <f t="shared" si="12"/>
        <v>381.76506481152865</v>
      </c>
      <c r="E83" s="169">
        <f t="shared" si="9"/>
        <v>0</v>
      </c>
      <c r="F83" s="169"/>
      <c r="G83" s="170">
        <f t="shared" si="13"/>
        <v>291839.41666154104</v>
      </c>
    </row>
    <row r="84" spans="1:8">
      <c r="A84" s="168">
        <v>70</v>
      </c>
      <c r="B84" s="171">
        <f t="shared" si="10"/>
        <v>2086.3886248819185</v>
      </c>
      <c r="C84" s="171">
        <f t="shared" si="11"/>
        <v>1702.3965971923228</v>
      </c>
      <c r="D84" s="171">
        <f t="shared" si="12"/>
        <v>383.99202768959572</v>
      </c>
      <c r="E84" s="169">
        <f t="shared" si="9"/>
        <v>0</v>
      </c>
      <c r="F84" s="169"/>
      <c r="G84" s="170">
        <f t="shared" si="13"/>
        <v>291455.42463385145</v>
      </c>
    </row>
    <row r="85" spans="1:8">
      <c r="A85" s="168">
        <v>71</v>
      </c>
      <c r="B85" s="171">
        <f t="shared" si="10"/>
        <v>2086.3886248819185</v>
      </c>
      <c r="C85" s="171">
        <f t="shared" si="11"/>
        <v>1700.156643697467</v>
      </c>
      <c r="D85" s="171">
        <f t="shared" si="12"/>
        <v>386.23198118445157</v>
      </c>
      <c r="E85" s="169">
        <f t="shared" si="9"/>
        <v>0</v>
      </c>
      <c r="F85" s="169"/>
      <c r="G85" s="170">
        <f t="shared" si="13"/>
        <v>291069.192652667</v>
      </c>
    </row>
    <row r="86" spans="1:8" s="181" customFormat="1">
      <c r="A86" s="177">
        <v>72</v>
      </c>
      <c r="B86" s="178">
        <f t="shared" si="10"/>
        <v>2086.3886248819185</v>
      </c>
      <c r="C86" s="178">
        <f t="shared" si="11"/>
        <v>1697.9036238072242</v>
      </c>
      <c r="D86" s="178">
        <f t="shared" si="12"/>
        <v>388.48500107469431</v>
      </c>
      <c r="E86" s="179">
        <f t="shared" si="9"/>
        <v>0</v>
      </c>
      <c r="F86" s="179"/>
      <c r="G86" s="180">
        <f t="shared" si="13"/>
        <v>290680.70765159233</v>
      </c>
      <c r="H86" s="182">
        <f>SUM(D75:D86)</f>
        <v>4515.9581424427579</v>
      </c>
    </row>
    <row r="87" spans="1:8" s="181" customFormat="1">
      <c r="A87" s="177">
        <v>73</v>
      </c>
      <c r="B87" s="178">
        <f t="shared" si="10"/>
        <v>2086.3886248819185</v>
      </c>
      <c r="C87" s="178">
        <f t="shared" si="11"/>
        <v>1695.6374613009552</v>
      </c>
      <c r="D87" s="178">
        <f t="shared" si="12"/>
        <v>390.75116358096329</v>
      </c>
      <c r="E87" s="178">
        <f>IF(G86-D87&gt;=$B$7,$B$7,G86-D87)+H87</f>
        <v>0</v>
      </c>
      <c r="F87" s="178"/>
      <c r="G87" s="180">
        <f t="shared" si="13"/>
        <v>290289.95648801135</v>
      </c>
      <c r="H87" s="182">
        <f>H75+B8</f>
        <v>0</v>
      </c>
    </row>
    <row r="88" spans="1:8">
      <c r="A88" s="168">
        <v>74</v>
      </c>
      <c r="B88" s="171">
        <f t="shared" si="10"/>
        <v>2086.3886248819185</v>
      </c>
      <c r="C88" s="171">
        <f t="shared" si="11"/>
        <v>1693.3580795133996</v>
      </c>
      <c r="D88" s="171">
        <f t="shared" si="12"/>
        <v>393.03054536851891</v>
      </c>
      <c r="E88" s="169">
        <f>IF(G87-D88&gt;=$B$7,E87,G87-D88)</f>
        <v>0</v>
      </c>
      <c r="F88" s="169"/>
      <c r="G88" s="170">
        <f t="shared" si="13"/>
        <v>289896.92594264285</v>
      </c>
    </row>
    <row r="89" spans="1:8">
      <c r="A89" s="168">
        <v>75</v>
      </c>
      <c r="B89" s="171">
        <f t="shared" si="10"/>
        <v>2086.3886248819185</v>
      </c>
      <c r="C89" s="171">
        <f t="shared" si="11"/>
        <v>1691.0654013320834</v>
      </c>
      <c r="D89" s="171">
        <f t="shared" si="12"/>
        <v>395.32322354983512</v>
      </c>
      <c r="E89" s="169">
        <f t="shared" ref="E89:E98" si="14">IF(G88-D89&gt;=$B$7,E88,G88-D89)</f>
        <v>0</v>
      </c>
      <c r="F89" s="169"/>
      <c r="G89" s="170">
        <f t="shared" si="13"/>
        <v>289501.60271909303</v>
      </c>
    </row>
    <row r="90" spans="1:8">
      <c r="A90" s="168">
        <v>76</v>
      </c>
      <c r="B90" s="171">
        <f t="shared" si="10"/>
        <v>2086.3886248819185</v>
      </c>
      <c r="C90" s="171">
        <f t="shared" si="11"/>
        <v>1688.7593491947093</v>
      </c>
      <c r="D90" s="171">
        <f t="shared" si="12"/>
        <v>397.6292756872092</v>
      </c>
      <c r="E90" s="169">
        <f t="shared" si="14"/>
        <v>0</v>
      </c>
      <c r="F90" s="169"/>
      <c r="G90" s="170">
        <f t="shared" si="13"/>
        <v>289103.97344340582</v>
      </c>
    </row>
    <row r="91" spans="1:8">
      <c r="A91" s="168">
        <v>77</v>
      </c>
      <c r="B91" s="171">
        <f t="shared" si="10"/>
        <v>2086.3886248819185</v>
      </c>
      <c r="C91" s="171">
        <f t="shared" si="11"/>
        <v>1686.439845086534</v>
      </c>
      <c r="D91" s="171">
        <f t="shared" si="12"/>
        <v>399.94877979538455</v>
      </c>
      <c r="E91" s="169">
        <f t="shared" si="14"/>
        <v>0</v>
      </c>
      <c r="F91" s="169"/>
      <c r="G91" s="170">
        <f t="shared" si="13"/>
        <v>288704.02466361044</v>
      </c>
    </row>
    <row r="92" spans="1:8">
      <c r="A92" s="168">
        <v>78</v>
      </c>
      <c r="B92" s="171">
        <f t="shared" si="10"/>
        <v>2086.3886248819185</v>
      </c>
      <c r="C92" s="171">
        <f t="shared" si="11"/>
        <v>1684.1068105377276</v>
      </c>
      <c r="D92" s="171">
        <f t="shared" si="12"/>
        <v>402.28181434419093</v>
      </c>
      <c r="E92" s="169">
        <f t="shared" si="14"/>
        <v>0</v>
      </c>
      <c r="F92" s="169"/>
      <c r="G92" s="170">
        <f t="shared" si="13"/>
        <v>288301.74284926627</v>
      </c>
    </row>
    <row r="93" spans="1:8">
      <c r="A93" s="168">
        <v>79</v>
      </c>
      <c r="B93" s="171">
        <f t="shared" si="10"/>
        <v>2086.3886248819185</v>
      </c>
      <c r="C93" s="171">
        <f t="shared" si="11"/>
        <v>1681.7601666207199</v>
      </c>
      <c r="D93" s="171">
        <f t="shared" si="12"/>
        <v>404.6284582611986</v>
      </c>
      <c r="E93" s="169">
        <f t="shared" si="14"/>
        <v>0</v>
      </c>
      <c r="F93" s="169"/>
      <c r="G93" s="170">
        <f t="shared" si="13"/>
        <v>287897.11439100507</v>
      </c>
    </row>
    <row r="94" spans="1:8">
      <c r="A94" s="168">
        <v>80</v>
      </c>
      <c r="B94" s="171">
        <f t="shared" si="10"/>
        <v>2086.3886248819185</v>
      </c>
      <c r="C94" s="171">
        <f t="shared" si="11"/>
        <v>1679.3998339475297</v>
      </c>
      <c r="D94" s="171">
        <f t="shared" si="12"/>
        <v>406.98879093438882</v>
      </c>
      <c r="E94" s="169">
        <f t="shared" si="14"/>
        <v>0</v>
      </c>
      <c r="F94" s="169"/>
      <c r="G94" s="170">
        <f t="shared" si="13"/>
        <v>287490.12560007069</v>
      </c>
    </row>
    <row r="95" spans="1:8">
      <c r="A95" s="168">
        <v>81</v>
      </c>
      <c r="B95" s="171">
        <f t="shared" si="10"/>
        <v>2086.3886248819185</v>
      </c>
      <c r="C95" s="171">
        <f t="shared" si="11"/>
        <v>1677.0257326670792</v>
      </c>
      <c r="D95" s="171">
        <f t="shared" si="12"/>
        <v>409.36289221483935</v>
      </c>
      <c r="E95" s="169">
        <f t="shared" si="14"/>
        <v>0</v>
      </c>
      <c r="F95" s="169"/>
      <c r="G95" s="170">
        <f t="shared" si="13"/>
        <v>287080.76270785584</v>
      </c>
    </row>
    <row r="96" spans="1:8">
      <c r="A96" s="168">
        <v>82</v>
      </c>
      <c r="B96" s="171">
        <f t="shared" si="10"/>
        <v>2086.3886248819185</v>
      </c>
      <c r="C96" s="171">
        <f t="shared" si="11"/>
        <v>1674.6377824624924</v>
      </c>
      <c r="D96" s="171">
        <f t="shared" si="12"/>
        <v>411.75084241942614</v>
      </c>
      <c r="E96" s="169">
        <f t="shared" si="14"/>
        <v>0</v>
      </c>
      <c r="F96" s="169"/>
      <c r="G96" s="170">
        <f t="shared" si="13"/>
        <v>286669.01186543639</v>
      </c>
    </row>
    <row r="97" spans="1:8">
      <c r="A97" s="168">
        <v>83</v>
      </c>
      <c r="B97" s="171">
        <f t="shared" si="10"/>
        <v>2086.3886248819185</v>
      </c>
      <c r="C97" s="171">
        <f t="shared" si="11"/>
        <v>1672.235902548379</v>
      </c>
      <c r="D97" s="171">
        <f t="shared" si="12"/>
        <v>414.15272233353949</v>
      </c>
      <c r="E97" s="169">
        <f t="shared" si="14"/>
        <v>0</v>
      </c>
      <c r="F97" s="169"/>
      <c r="G97" s="170">
        <f t="shared" si="13"/>
        <v>286254.85914310283</v>
      </c>
    </row>
    <row r="98" spans="1:8" s="181" customFormat="1">
      <c r="A98" s="177">
        <v>84</v>
      </c>
      <c r="B98" s="178">
        <f t="shared" si="10"/>
        <v>2086.3886248819185</v>
      </c>
      <c r="C98" s="178">
        <f t="shared" si="11"/>
        <v>1669.8200116680998</v>
      </c>
      <c r="D98" s="178">
        <f t="shared" si="12"/>
        <v>416.56861321381871</v>
      </c>
      <c r="E98" s="179">
        <f t="shared" si="14"/>
        <v>0</v>
      </c>
      <c r="F98" s="179"/>
      <c r="G98" s="180">
        <f t="shared" si="13"/>
        <v>285838.290529889</v>
      </c>
      <c r="H98" s="182">
        <f>SUM(D87:D98)</f>
        <v>4842.4171217033127</v>
      </c>
    </row>
    <row r="99" spans="1:8" s="181" customFormat="1">
      <c r="A99" s="177">
        <v>85</v>
      </c>
      <c r="B99" s="178">
        <f t="shared" si="10"/>
        <v>2086.3886248819185</v>
      </c>
      <c r="C99" s="178">
        <f t="shared" si="11"/>
        <v>1667.3900280910193</v>
      </c>
      <c r="D99" s="178">
        <f t="shared" si="12"/>
        <v>418.99859679089923</v>
      </c>
      <c r="E99" s="178">
        <f>IF(G98-D99&gt;=$B$7,$B$7,G98-D99)+H99</f>
        <v>0</v>
      </c>
      <c r="F99" s="178"/>
      <c r="G99" s="180">
        <f t="shared" si="13"/>
        <v>285419.29193309811</v>
      </c>
      <c r="H99" s="182">
        <f>+H87+B8</f>
        <v>0</v>
      </c>
    </row>
    <row r="100" spans="1:8">
      <c r="A100" s="168">
        <v>86</v>
      </c>
      <c r="B100" s="171">
        <f t="shared" si="10"/>
        <v>2086.3886248819185</v>
      </c>
      <c r="C100" s="171">
        <f t="shared" si="11"/>
        <v>1664.945869609739</v>
      </c>
      <c r="D100" s="171">
        <f t="shared" si="12"/>
        <v>421.44275527217951</v>
      </c>
      <c r="E100" s="169">
        <f>IF(G99-D100&gt;=$B$7,E99,G99-D100)</f>
        <v>0</v>
      </c>
      <c r="F100" s="169"/>
      <c r="G100" s="170">
        <f t="shared" si="13"/>
        <v>284997.8491778259</v>
      </c>
    </row>
    <row r="101" spans="1:8">
      <c r="A101" s="168">
        <v>87</v>
      </c>
      <c r="B101" s="171">
        <f t="shared" si="10"/>
        <v>2086.3886248819185</v>
      </c>
      <c r="C101" s="171">
        <f t="shared" si="11"/>
        <v>1662.4874535373178</v>
      </c>
      <c r="D101" s="171">
        <f t="shared" si="12"/>
        <v>423.9011713446007</v>
      </c>
      <c r="E101" s="169">
        <f t="shared" ref="E101:E110" si="15">IF(G100-D101&gt;=$B$7,E100,G100-D101)</f>
        <v>0</v>
      </c>
      <c r="F101" s="169"/>
      <c r="G101" s="170">
        <f t="shared" si="13"/>
        <v>284573.94800648128</v>
      </c>
    </row>
    <row r="102" spans="1:8">
      <c r="A102" s="168">
        <v>88</v>
      </c>
      <c r="B102" s="171">
        <f t="shared" si="10"/>
        <v>2086.3886248819185</v>
      </c>
      <c r="C102" s="171">
        <f t="shared" si="11"/>
        <v>1660.0146967044743</v>
      </c>
      <c r="D102" s="171">
        <f t="shared" si="12"/>
        <v>426.37392817744421</v>
      </c>
      <c r="E102" s="169">
        <f t="shared" si="15"/>
        <v>0</v>
      </c>
      <c r="F102" s="169"/>
      <c r="G102" s="170">
        <f t="shared" si="13"/>
        <v>284147.57407830382</v>
      </c>
    </row>
    <row r="103" spans="1:8">
      <c r="A103" s="168">
        <v>89</v>
      </c>
      <c r="B103" s="171">
        <f t="shared" si="10"/>
        <v>2086.3886248819185</v>
      </c>
      <c r="C103" s="171">
        <f t="shared" si="11"/>
        <v>1657.5275154567723</v>
      </c>
      <c r="D103" s="171">
        <f t="shared" si="12"/>
        <v>428.8611094251462</v>
      </c>
      <c r="E103" s="169">
        <f t="shared" si="15"/>
        <v>0</v>
      </c>
      <c r="F103" s="169"/>
      <c r="G103" s="170">
        <f t="shared" si="13"/>
        <v>283718.71296887868</v>
      </c>
    </row>
    <row r="104" spans="1:8">
      <c r="A104" s="168">
        <v>90</v>
      </c>
      <c r="B104" s="171">
        <f t="shared" si="10"/>
        <v>2086.3886248819185</v>
      </c>
      <c r="C104" s="171">
        <f t="shared" si="11"/>
        <v>1655.0258256517923</v>
      </c>
      <c r="D104" s="171">
        <f t="shared" si="12"/>
        <v>431.36279923012626</v>
      </c>
      <c r="E104" s="169">
        <f t="shared" si="15"/>
        <v>0</v>
      </c>
      <c r="F104" s="169"/>
      <c r="G104" s="170">
        <f t="shared" si="13"/>
        <v>283287.35016964853</v>
      </c>
    </row>
    <row r="105" spans="1:8">
      <c r="A105" s="168">
        <v>91</v>
      </c>
      <c r="B105" s="171">
        <f t="shared" si="10"/>
        <v>2086.3886248819185</v>
      </c>
      <c r="C105" s="171">
        <f t="shared" si="11"/>
        <v>1652.5095426562832</v>
      </c>
      <c r="D105" s="171">
        <f t="shared" si="12"/>
        <v>433.87908222563533</v>
      </c>
      <c r="E105" s="169">
        <f t="shared" si="15"/>
        <v>0</v>
      </c>
      <c r="F105" s="169"/>
      <c r="G105" s="170">
        <f t="shared" si="13"/>
        <v>282853.47108742292</v>
      </c>
    </row>
    <row r="106" spans="1:8">
      <c r="A106" s="168">
        <v>92</v>
      </c>
      <c r="B106" s="171">
        <f t="shared" si="10"/>
        <v>2086.3886248819185</v>
      </c>
      <c r="C106" s="171">
        <f t="shared" si="11"/>
        <v>1649.9785813433004</v>
      </c>
      <c r="D106" s="171">
        <f t="shared" si="12"/>
        <v>436.41004353861808</v>
      </c>
      <c r="E106" s="169">
        <f t="shared" si="15"/>
        <v>0</v>
      </c>
      <c r="F106" s="169"/>
      <c r="G106" s="170">
        <f t="shared" si="13"/>
        <v>282417.06104388431</v>
      </c>
    </row>
    <row r="107" spans="1:8">
      <c r="A107" s="168">
        <v>93</v>
      </c>
      <c r="B107" s="171">
        <f t="shared" si="10"/>
        <v>2086.3886248819185</v>
      </c>
      <c r="C107" s="171">
        <f t="shared" si="11"/>
        <v>1647.4328560893252</v>
      </c>
      <c r="D107" s="171">
        <f t="shared" si="12"/>
        <v>438.95576879259329</v>
      </c>
      <c r="E107" s="169">
        <f t="shared" si="15"/>
        <v>0</v>
      </c>
      <c r="F107" s="169"/>
      <c r="G107" s="170">
        <f t="shared" si="13"/>
        <v>281978.10527509172</v>
      </c>
    </row>
    <row r="108" spans="1:8">
      <c r="A108" s="168">
        <v>94</v>
      </c>
      <c r="B108" s="171">
        <f t="shared" si="10"/>
        <v>2086.3886248819185</v>
      </c>
      <c r="C108" s="171">
        <f t="shared" si="11"/>
        <v>1644.8722807713684</v>
      </c>
      <c r="D108" s="171">
        <f t="shared" si="12"/>
        <v>441.51634411055011</v>
      </c>
      <c r="E108" s="169">
        <f t="shared" si="15"/>
        <v>0</v>
      </c>
      <c r="F108" s="169"/>
      <c r="G108" s="170">
        <f t="shared" si="13"/>
        <v>281536.58893098118</v>
      </c>
    </row>
    <row r="109" spans="1:8">
      <c r="A109" s="168">
        <v>95</v>
      </c>
      <c r="B109" s="171">
        <f t="shared" si="10"/>
        <v>2086.3886248819185</v>
      </c>
      <c r="C109" s="171">
        <f t="shared" si="11"/>
        <v>1642.2967687640569</v>
      </c>
      <c r="D109" s="171">
        <f t="shared" si="12"/>
        <v>444.09185611786165</v>
      </c>
      <c r="E109" s="169">
        <f t="shared" si="15"/>
        <v>0</v>
      </c>
      <c r="F109" s="169"/>
      <c r="G109" s="170">
        <f t="shared" si="13"/>
        <v>281092.49707486329</v>
      </c>
    </row>
    <row r="110" spans="1:8" s="181" customFormat="1">
      <c r="A110" s="177">
        <v>96</v>
      </c>
      <c r="B110" s="178">
        <f t="shared" si="10"/>
        <v>2086.3886248819185</v>
      </c>
      <c r="C110" s="178">
        <f t="shared" si="11"/>
        <v>1639.7062329367027</v>
      </c>
      <c r="D110" s="178">
        <f t="shared" si="12"/>
        <v>446.68239194521584</v>
      </c>
      <c r="E110" s="179">
        <f t="shared" si="15"/>
        <v>0</v>
      </c>
      <c r="F110" s="179"/>
      <c r="G110" s="180">
        <f t="shared" si="13"/>
        <v>280645.81468291808</v>
      </c>
      <c r="H110" s="182">
        <f>SUM(D99:D110)</f>
        <v>5192.4758469708704</v>
      </c>
    </row>
    <row r="111" spans="1:8" s="181" customFormat="1">
      <c r="A111" s="177">
        <v>97</v>
      </c>
      <c r="B111" s="178">
        <f t="shared" si="10"/>
        <v>2086.3886248819185</v>
      </c>
      <c r="C111" s="178">
        <f t="shared" si="11"/>
        <v>1637.1005856503555</v>
      </c>
      <c r="D111" s="178">
        <f t="shared" si="12"/>
        <v>449.28803923156306</v>
      </c>
      <c r="E111" s="178">
        <f>IF(G110-D111&gt;=$B$7,$B$7,G110-D111)+H111</f>
        <v>0</v>
      </c>
      <c r="F111" s="178"/>
      <c r="G111" s="180">
        <f t="shared" si="13"/>
        <v>280196.52664368652</v>
      </c>
      <c r="H111" s="182">
        <f>+B8+H99</f>
        <v>0</v>
      </c>
    </row>
    <row r="112" spans="1:8">
      <c r="A112" s="168">
        <v>98</v>
      </c>
      <c r="B112" s="171">
        <f t="shared" si="10"/>
        <v>2086.3886248819185</v>
      </c>
      <c r="C112" s="171">
        <f t="shared" si="11"/>
        <v>1634.4797387548381</v>
      </c>
      <c r="D112" s="171">
        <f t="shared" si="12"/>
        <v>451.90888612708045</v>
      </c>
      <c r="E112" s="169">
        <f>IF(G111-D112&gt;=$B$7,E111,G111-D112)</f>
        <v>0</v>
      </c>
      <c r="F112" s="169"/>
      <c r="G112" s="170">
        <f t="shared" si="13"/>
        <v>279744.61775755946</v>
      </c>
    </row>
    <row r="113" spans="1:8">
      <c r="A113" s="168">
        <v>99</v>
      </c>
      <c r="B113" s="171">
        <f t="shared" si="10"/>
        <v>2086.3886248819185</v>
      </c>
      <c r="C113" s="171">
        <f t="shared" si="11"/>
        <v>1631.8436035857635</v>
      </c>
      <c r="D113" s="171">
        <f t="shared" si="12"/>
        <v>454.54502129615503</v>
      </c>
      <c r="E113" s="169">
        <f t="shared" ref="E113:E122" si="16">IF(G112-D113&gt;=$B$7,E112,G112-D113)</f>
        <v>0</v>
      </c>
      <c r="F113" s="169"/>
      <c r="G113" s="170">
        <f t="shared" si="13"/>
        <v>279290.07273626333</v>
      </c>
    </row>
    <row r="114" spans="1:8">
      <c r="A114" s="168">
        <v>100</v>
      </c>
      <c r="B114" s="171">
        <f t="shared" si="10"/>
        <v>2086.3886248819185</v>
      </c>
      <c r="C114" s="171">
        <f t="shared" si="11"/>
        <v>1629.1920909615362</v>
      </c>
      <c r="D114" s="171">
        <f t="shared" si="12"/>
        <v>457.19653392038231</v>
      </c>
      <c r="E114" s="169">
        <f t="shared" si="16"/>
        <v>0</v>
      </c>
      <c r="F114" s="169"/>
      <c r="G114" s="170">
        <f t="shared" si="13"/>
        <v>278832.87620234297</v>
      </c>
    </row>
    <row r="115" spans="1:8">
      <c r="A115" s="168">
        <v>101</v>
      </c>
      <c r="B115" s="171">
        <f t="shared" si="10"/>
        <v>2086.3886248819185</v>
      </c>
      <c r="C115" s="171">
        <f t="shared" si="11"/>
        <v>1626.5251111803341</v>
      </c>
      <c r="D115" s="171">
        <f t="shared" si="12"/>
        <v>459.86351370158445</v>
      </c>
      <c r="E115" s="169">
        <f t="shared" si="16"/>
        <v>0</v>
      </c>
      <c r="F115" s="169"/>
      <c r="G115" s="170">
        <f t="shared" si="13"/>
        <v>278373.01268864138</v>
      </c>
    </row>
    <row r="116" spans="1:8">
      <c r="A116" s="168">
        <v>102</v>
      </c>
      <c r="B116" s="171">
        <f t="shared" si="10"/>
        <v>2086.3886248819185</v>
      </c>
      <c r="C116" s="171">
        <f t="shared" si="11"/>
        <v>1623.8425740170749</v>
      </c>
      <c r="D116" s="171">
        <f t="shared" si="12"/>
        <v>462.54605086484366</v>
      </c>
      <c r="E116" s="169">
        <f t="shared" si="16"/>
        <v>0</v>
      </c>
      <c r="F116" s="169"/>
      <c r="G116" s="170">
        <f t="shared" si="13"/>
        <v>277910.46663777652</v>
      </c>
    </row>
    <row r="117" spans="1:8">
      <c r="A117" s="168">
        <v>103</v>
      </c>
      <c r="B117" s="171">
        <f t="shared" si="10"/>
        <v>2086.3886248819185</v>
      </c>
      <c r="C117" s="171">
        <f t="shared" si="11"/>
        <v>1621.1443887203632</v>
      </c>
      <c r="D117" s="171">
        <f t="shared" si="12"/>
        <v>465.24423616155536</v>
      </c>
      <c r="E117" s="169">
        <f t="shared" si="16"/>
        <v>0</v>
      </c>
      <c r="F117" s="169"/>
      <c r="G117" s="170">
        <f t="shared" si="13"/>
        <v>277445.22240161494</v>
      </c>
    </row>
    <row r="118" spans="1:8">
      <c r="A118" s="168">
        <v>104</v>
      </c>
      <c r="B118" s="171">
        <f t="shared" si="10"/>
        <v>2086.3886248819185</v>
      </c>
      <c r="C118" s="171">
        <f t="shared" si="11"/>
        <v>1618.4304640094206</v>
      </c>
      <c r="D118" s="171">
        <f t="shared" si="12"/>
        <v>467.95816087249796</v>
      </c>
      <c r="E118" s="169">
        <f t="shared" si="16"/>
        <v>0</v>
      </c>
      <c r="F118" s="169"/>
      <c r="G118" s="170">
        <f t="shared" si="13"/>
        <v>276977.26424074243</v>
      </c>
    </row>
    <row r="119" spans="1:8">
      <c r="A119" s="168">
        <v>105</v>
      </c>
      <c r="B119" s="171">
        <f t="shared" si="10"/>
        <v>2086.3886248819185</v>
      </c>
      <c r="C119" s="171">
        <f t="shared" si="11"/>
        <v>1615.7007080709975</v>
      </c>
      <c r="D119" s="171">
        <f t="shared" si="12"/>
        <v>470.68791681092102</v>
      </c>
      <c r="E119" s="169">
        <f t="shared" si="16"/>
        <v>0</v>
      </c>
      <c r="F119" s="169"/>
      <c r="G119" s="170">
        <f t="shared" si="13"/>
        <v>276506.57632393151</v>
      </c>
    </row>
    <row r="120" spans="1:8">
      <c r="A120" s="168">
        <v>106</v>
      </c>
      <c r="B120" s="171">
        <f t="shared" si="10"/>
        <v>2086.3886248819185</v>
      </c>
      <c r="C120" s="171">
        <f t="shared" si="11"/>
        <v>1612.9550285562673</v>
      </c>
      <c r="D120" s="171">
        <f t="shared" si="12"/>
        <v>473.43359632565125</v>
      </c>
      <c r="E120" s="169">
        <f t="shared" si="16"/>
        <v>0</v>
      </c>
      <c r="F120" s="169"/>
      <c r="G120" s="170">
        <f t="shared" si="13"/>
        <v>276033.14272760588</v>
      </c>
    </row>
    <row r="121" spans="1:8">
      <c r="A121" s="168">
        <v>107</v>
      </c>
      <c r="B121" s="171">
        <f t="shared" si="10"/>
        <v>2086.3886248819185</v>
      </c>
      <c r="C121" s="171">
        <f t="shared" si="11"/>
        <v>1610.1933325777011</v>
      </c>
      <c r="D121" s="171">
        <f t="shared" si="12"/>
        <v>476.19529230421745</v>
      </c>
      <c r="E121" s="169">
        <f t="shared" si="16"/>
        <v>0</v>
      </c>
      <c r="F121" s="169"/>
      <c r="G121" s="170">
        <f t="shared" si="13"/>
        <v>275556.94743530167</v>
      </c>
    </row>
    <row r="122" spans="1:8">
      <c r="A122" s="168">
        <v>108</v>
      </c>
      <c r="B122" s="171">
        <f t="shared" si="10"/>
        <v>2086.3886248819185</v>
      </c>
      <c r="C122" s="171">
        <f t="shared" si="11"/>
        <v>1607.4155267059266</v>
      </c>
      <c r="D122" s="171">
        <f t="shared" si="12"/>
        <v>478.97309817599194</v>
      </c>
      <c r="E122" s="169">
        <f t="shared" si="16"/>
        <v>0</v>
      </c>
      <c r="F122" s="169"/>
      <c r="G122" s="170">
        <f t="shared" si="13"/>
        <v>275077.97433712566</v>
      </c>
      <c r="H122" s="182">
        <f>SUM(D111:D122)</f>
        <v>5567.8403457924442</v>
      </c>
    </row>
    <row r="123" spans="1:8">
      <c r="A123" s="168">
        <v>109</v>
      </c>
      <c r="B123" s="189">
        <f t="shared" si="10"/>
        <v>2086.3886248819185</v>
      </c>
      <c r="C123" s="189">
        <f t="shared" si="11"/>
        <v>1604.6215169665663</v>
      </c>
      <c r="D123" s="189">
        <f t="shared" si="12"/>
        <v>481.7671079153522</v>
      </c>
      <c r="E123" s="189">
        <f>IF(G122-D123&gt;=$B$7,$B$7,G122-D123)+H123</f>
        <v>0</v>
      </c>
      <c r="F123" s="189"/>
      <c r="G123" s="191">
        <f t="shared" si="13"/>
        <v>274596.2072292103</v>
      </c>
      <c r="H123" s="157"/>
    </row>
    <row r="124" spans="1:8">
      <c r="A124" s="168">
        <v>110</v>
      </c>
      <c r="B124" s="171">
        <f t="shared" si="10"/>
        <v>2086.3886248819185</v>
      </c>
      <c r="C124" s="171">
        <f t="shared" si="11"/>
        <v>1601.8112088370601</v>
      </c>
      <c r="D124" s="171">
        <f t="shared" si="12"/>
        <v>484.57741604485841</v>
      </c>
      <c r="E124" s="169">
        <f>IF(G123-D124&gt;=$B$7,E123,G123-D124)</f>
        <v>0</v>
      </c>
      <c r="F124" s="169"/>
      <c r="G124" s="170">
        <f t="shared" si="13"/>
        <v>274111.62981316546</v>
      </c>
    </row>
    <row r="125" spans="1:8">
      <c r="A125" s="168">
        <v>111</v>
      </c>
      <c r="B125" s="171">
        <f t="shared" si="10"/>
        <v>2086.3886248819185</v>
      </c>
      <c r="C125" s="171">
        <f t="shared" si="11"/>
        <v>1598.9845072434653</v>
      </c>
      <c r="D125" s="171">
        <f t="shared" si="12"/>
        <v>487.40411763845327</v>
      </c>
      <c r="E125" s="169">
        <f t="shared" ref="E125:E134" si="17">IF(G124-D125&gt;=$B$7,E124,G124-D125)</f>
        <v>0</v>
      </c>
      <c r="F125" s="169"/>
      <c r="G125" s="170">
        <f t="shared" si="13"/>
        <v>273624.22569552698</v>
      </c>
    </row>
    <row r="126" spans="1:8">
      <c r="A126" s="168">
        <v>112</v>
      </c>
      <c r="B126" s="171">
        <f t="shared" si="10"/>
        <v>2086.3886248819185</v>
      </c>
      <c r="C126" s="171">
        <f t="shared" si="11"/>
        <v>1596.1413165572408</v>
      </c>
      <c r="D126" s="171">
        <f t="shared" si="12"/>
        <v>490.24730832467776</v>
      </c>
      <c r="E126" s="169">
        <f t="shared" si="17"/>
        <v>0</v>
      </c>
      <c r="F126" s="169"/>
      <c r="G126" s="170">
        <f t="shared" si="13"/>
        <v>273133.97838720231</v>
      </c>
    </row>
    <row r="127" spans="1:8">
      <c r="A127" s="168">
        <v>113</v>
      </c>
      <c r="B127" s="171">
        <f t="shared" si="10"/>
        <v>2086.3886248819185</v>
      </c>
      <c r="C127" s="171">
        <f t="shared" si="11"/>
        <v>1593.2815405920135</v>
      </c>
      <c r="D127" s="171">
        <f t="shared" si="12"/>
        <v>493.10708428990506</v>
      </c>
      <c r="E127" s="169">
        <f t="shared" si="17"/>
        <v>0</v>
      </c>
      <c r="F127" s="169"/>
      <c r="G127" s="170">
        <f t="shared" si="13"/>
        <v>272640.87130291242</v>
      </c>
    </row>
    <row r="128" spans="1:8">
      <c r="A128" s="168">
        <v>114</v>
      </c>
      <c r="B128" s="171">
        <f t="shared" si="10"/>
        <v>2086.3886248819185</v>
      </c>
      <c r="C128" s="171">
        <f t="shared" si="11"/>
        <v>1590.4050826003224</v>
      </c>
      <c r="D128" s="171">
        <f t="shared" si="12"/>
        <v>495.9835422815961</v>
      </c>
      <c r="E128" s="169">
        <f t="shared" si="17"/>
        <v>0</v>
      </c>
      <c r="F128" s="169"/>
      <c r="G128" s="170">
        <f t="shared" si="13"/>
        <v>272144.88776063081</v>
      </c>
    </row>
    <row r="129" spans="1:8">
      <c r="A129" s="168">
        <v>115</v>
      </c>
      <c r="B129" s="171">
        <f t="shared" si="10"/>
        <v>2086.3886248819185</v>
      </c>
      <c r="C129" s="171">
        <f t="shared" si="11"/>
        <v>1587.5118452703464</v>
      </c>
      <c r="D129" s="171">
        <f t="shared" si="12"/>
        <v>498.87677961157215</v>
      </c>
      <c r="E129" s="169">
        <f t="shared" si="17"/>
        <v>0</v>
      </c>
      <c r="F129" s="169"/>
      <c r="G129" s="170">
        <f t="shared" si="13"/>
        <v>271646.01098101924</v>
      </c>
    </row>
    <row r="130" spans="1:8">
      <c r="A130" s="168">
        <v>116</v>
      </c>
      <c r="B130" s="171">
        <f t="shared" si="10"/>
        <v>2086.3886248819185</v>
      </c>
      <c r="C130" s="171">
        <f t="shared" si="11"/>
        <v>1584.6017307226123</v>
      </c>
      <c r="D130" s="171">
        <f t="shared" si="12"/>
        <v>501.78689415930626</v>
      </c>
      <c r="E130" s="169">
        <f t="shared" si="17"/>
        <v>0</v>
      </c>
      <c r="F130" s="169"/>
      <c r="G130" s="170">
        <f t="shared" si="13"/>
        <v>271144.2240868599</v>
      </c>
    </row>
    <row r="131" spans="1:8">
      <c r="A131" s="168">
        <v>117</v>
      </c>
      <c r="B131" s="171">
        <f t="shared" si="10"/>
        <v>2086.3886248819185</v>
      </c>
      <c r="C131" s="171">
        <f t="shared" si="11"/>
        <v>1581.6746405066829</v>
      </c>
      <c r="D131" s="171">
        <f t="shared" si="12"/>
        <v>504.71398437523567</v>
      </c>
      <c r="E131" s="169">
        <f t="shared" si="17"/>
        <v>0</v>
      </c>
      <c r="F131" s="169"/>
      <c r="G131" s="170">
        <f t="shared" si="13"/>
        <v>270639.51010248467</v>
      </c>
    </row>
    <row r="132" spans="1:8">
      <c r="A132" s="168">
        <v>118</v>
      </c>
      <c r="B132" s="171">
        <f t="shared" si="10"/>
        <v>2086.3886248819185</v>
      </c>
      <c r="C132" s="171">
        <f t="shared" si="11"/>
        <v>1578.7304755978273</v>
      </c>
      <c r="D132" s="171">
        <f t="shared" si="12"/>
        <v>507.65814928409122</v>
      </c>
      <c r="E132" s="169">
        <f t="shared" si="17"/>
        <v>0</v>
      </c>
      <c r="F132" s="169"/>
      <c r="G132" s="170">
        <f t="shared" si="13"/>
        <v>270131.85195320059</v>
      </c>
    </row>
    <row r="133" spans="1:8">
      <c r="A133" s="168">
        <v>119</v>
      </c>
      <c r="B133" s="171">
        <f t="shared" si="10"/>
        <v>2086.3886248819185</v>
      </c>
      <c r="C133" s="171">
        <f t="shared" si="11"/>
        <v>1575.7691363936701</v>
      </c>
      <c r="D133" s="171">
        <f t="shared" si="12"/>
        <v>510.61948848824841</v>
      </c>
      <c r="E133" s="169">
        <f t="shared" si="17"/>
        <v>0</v>
      </c>
      <c r="F133" s="169"/>
      <c r="G133" s="170">
        <f t="shared" si="13"/>
        <v>269621.23246471235</v>
      </c>
    </row>
    <row r="134" spans="1:8">
      <c r="A134" s="168">
        <v>120</v>
      </c>
      <c r="B134" s="171">
        <f t="shared" si="10"/>
        <v>2086.3886248819185</v>
      </c>
      <c r="C134" s="171">
        <f t="shared" si="11"/>
        <v>1572.7905227108222</v>
      </c>
      <c r="D134" s="171">
        <f t="shared" si="12"/>
        <v>513.59810217109634</v>
      </c>
      <c r="E134" s="169">
        <f t="shared" si="17"/>
        <v>0</v>
      </c>
      <c r="F134" s="169"/>
      <c r="G134" s="170">
        <f t="shared" si="13"/>
        <v>269107.63436254126</v>
      </c>
      <c r="H134" s="182">
        <f>SUM(D123:D134)</f>
        <v>5970.3399745843926</v>
      </c>
    </row>
    <row r="135" spans="1:8" s="181" customFormat="1">
      <c r="A135" s="177">
        <v>121</v>
      </c>
      <c r="B135" s="178">
        <f t="shared" si="10"/>
        <v>2086.3886248819185</v>
      </c>
      <c r="C135" s="178">
        <f t="shared" si="11"/>
        <v>1569.7945337814908</v>
      </c>
      <c r="D135" s="178">
        <f t="shared" si="12"/>
        <v>516.5940911004277</v>
      </c>
      <c r="E135" s="178">
        <f>IF(G134-D135&gt;=$B$7,$B$7,G134-D135)+H135</f>
        <v>0</v>
      </c>
      <c r="F135" s="178"/>
      <c r="G135" s="180">
        <f t="shared" si="13"/>
        <v>268591.04027144081</v>
      </c>
      <c r="H135" s="182">
        <f>+H123+B8</f>
        <v>0</v>
      </c>
    </row>
    <row r="136" spans="1:8">
      <c r="A136" s="168">
        <v>122</v>
      </c>
      <c r="B136" s="171">
        <f t="shared" si="10"/>
        <v>2086.3886248819185</v>
      </c>
      <c r="C136" s="171">
        <f t="shared" si="11"/>
        <v>1566.7810682500715</v>
      </c>
      <c r="D136" s="171">
        <f t="shared" si="12"/>
        <v>519.60755663184705</v>
      </c>
      <c r="E136" s="169">
        <f>IF(G135-D136&gt;=$B$7,E135,G135-D136)</f>
        <v>0</v>
      </c>
      <c r="F136" s="169"/>
      <c r="G136" s="170">
        <f t="shared" si="13"/>
        <v>268071.43271480897</v>
      </c>
    </row>
    <row r="137" spans="1:8">
      <c r="A137" s="168">
        <v>123</v>
      </c>
      <c r="B137" s="171">
        <f t="shared" si="10"/>
        <v>2086.3886248819185</v>
      </c>
      <c r="C137" s="171">
        <f t="shared" si="11"/>
        <v>1563.7500241697189</v>
      </c>
      <c r="D137" s="171">
        <f t="shared" si="12"/>
        <v>522.6386007121996</v>
      </c>
      <c r="E137" s="169">
        <f t="shared" ref="E137:E147" si="18">IF(G136-D137&gt;=$B$7,E136,G136-D137)</f>
        <v>0</v>
      </c>
      <c r="F137" s="169"/>
      <c r="G137" s="170">
        <f t="shared" si="13"/>
        <v>267548.79411409679</v>
      </c>
    </row>
    <row r="138" spans="1:8">
      <c r="A138" s="168">
        <v>124</v>
      </c>
      <c r="B138" s="171">
        <f t="shared" si="10"/>
        <v>2086.3886248819185</v>
      </c>
      <c r="C138" s="171">
        <f t="shared" si="11"/>
        <v>1560.701298998898</v>
      </c>
      <c r="D138" s="171">
        <f t="shared" si="12"/>
        <v>525.68732588302055</v>
      </c>
      <c r="E138" s="169">
        <f t="shared" si="18"/>
        <v>0</v>
      </c>
      <c r="F138" s="169"/>
      <c r="G138" s="170">
        <f t="shared" si="13"/>
        <v>267023.10678821377</v>
      </c>
    </row>
    <row r="139" spans="1:8">
      <c r="A139" s="168">
        <v>125</v>
      </c>
      <c r="B139" s="171">
        <f t="shared" si="10"/>
        <v>2086.3886248819185</v>
      </c>
      <c r="C139" s="171">
        <f t="shared" si="11"/>
        <v>1557.6347895979138</v>
      </c>
      <c r="D139" s="171">
        <f t="shared" si="12"/>
        <v>528.75383528400471</v>
      </c>
      <c r="E139" s="169">
        <f t="shared" si="18"/>
        <v>0</v>
      </c>
      <c r="F139" s="169"/>
      <c r="G139" s="170">
        <f t="shared" si="13"/>
        <v>266494.3529529298</v>
      </c>
    </row>
    <row r="140" spans="1:8">
      <c r="A140" s="168">
        <v>126</v>
      </c>
      <c r="B140" s="171">
        <f t="shared" si="10"/>
        <v>2086.3886248819185</v>
      </c>
      <c r="C140" s="171">
        <f t="shared" si="11"/>
        <v>1554.5503922254238</v>
      </c>
      <c r="D140" s="171">
        <f t="shared" si="12"/>
        <v>531.83823265649471</v>
      </c>
      <c r="E140" s="169">
        <f t="shared" si="18"/>
        <v>0</v>
      </c>
      <c r="F140" s="169"/>
      <c r="G140" s="170">
        <f t="shared" si="13"/>
        <v>265962.51472027332</v>
      </c>
    </row>
    <row r="141" spans="1:8">
      <c r="A141" s="168">
        <v>127</v>
      </c>
      <c r="B141" s="171">
        <f t="shared" si="10"/>
        <v>2086.3886248819185</v>
      </c>
      <c r="C141" s="171">
        <f t="shared" si="11"/>
        <v>1551.4480025349278</v>
      </c>
      <c r="D141" s="171">
        <f t="shared" si="12"/>
        <v>534.94062234699072</v>
      </c>
      <c r="E141" s="169">
        <f t="shared" si="18"/>
        <v>0</v>
      </c>
      <c r="F141" s="169"/>
      <c r="G141" s="170">
        <f t="shared" si="13"/>
        <v>265427.57409792632</v>
      </c>
    </row>
    <row r="142" spans="1:8">
      <c r="A142" s="168">
        <v>128</v>
      </c>
      <c r="B142" s="171">
        <f t="shared" si="10"/>
        <v>2086.3886248819185</v>
      </c>
      <c r="C142" s="171">
        <f t="shared" si="11"/>
        <v>1548.327515571237</v>
      </c>
      <c r="D142" s="171">
        <f t="shared" si="12"/>
        <v>538.06110931068156</v>
      </c>
      <c r="E142" s="169">
        <f t="shared" si="18"/>
        <v>0</v>
      </c>
      <c r="F142" s="169"/>
      <c r="G142" s="170">
        <f t="shared" si="13"/>
        <v>264889.51298861566</v>
      </c>
    </row>
    <row r="143" spans="1:8">
      <c r="A143" s="168">
        <v>129</v>
      </c>
      <c r="B143" s="171">
        <f t="shared" si="10"/>
        <v>2086.3886248819185</v>
      </c>
      <c r="C143" s="171">
        <f t="shared" si="11"/>
        <v>1545.1888257669248</v>
      </c>
      <c r="D143" s="171">
        <f t="shared" si="12"/>
        <v>541.19979911499377</v>
      </c>
      <c r="E143" s="169">
        <f t="shared" si="18"/>
        <v>0</v>
      </c>
      <c r="F143" s="169"/>
      <c r="G143" s="170">
        <f t="shared" si="13"/>
        <v>264348.31318950065</v>
      </c>
    </row>
    <row r="144" spans="1:8">
      <c r="A144" s="168">
        <v>130</v>
      </c>
      <c r="B144" s="171">
        <f t="shared" ref="B144:B207" si="19">IF($B$6&lt;=G143,$B$6,G143+G143*$B$4/$B$5)</f>
        <v>2086.3886248819185</v>
      </c>
      <c r="C144" s="171">
        <f t="shared" ref="C144:C207" si="20">IF(B144&gt;0,$B$4/$B$5*G143,0)</f>
        <v>1542.031826938754</v>
      </c>
      <c r="D144" s="171">
        <f t="shared" ref="D144:D207" si="21">IF(B144&gt;0,MIN(B144-C144,G143),0)</f>
        <v>544.35679794316457</v>
      </c>
      <c r="E144" s="169">
        <f t="shared" si="18"/>
        <v>0</v>
      </c>
      <c r="F144" s="169"/>
      <c r="G144" s="170">
        <f t="shared" ref="G144:G207" si="22">IF(ROUND(G143,5)&gt;0,G143-D144-E144,0)</f>
        <v>263803.95639155747</v>
      </c>
    </row>
    <row r="145" spans="1:8">
      <c r="A145" s="168">
        <v>131</v>
      </c>
      <c r="B145" s="171">
        <f t="shared" si="19"/>
        <v>2086.3886248819185</v>
      </c>
      <c r="C145" s="171">
        <f t="shared" si="20"/>
        <v>1538.8564122840853</v>
      </c>
      <c r="D145" s="171">
        <f t="shared" si="21"/>
        <v>547.53221259783322</v>
      </c>
      <c r="E145" s="169">
        <f t="shared" si="18"/>
        <v>0</v>
      </c>
      <c r="F145" s="169"/>
      <c r="G145" s="170">
        <f t="shared" si="22"/>
        <v>263256.42417895963</v>
      </c>
    </row>
    <row r="146" spans="1:8">
      <c r="A146" s="168">
        <v>132</v>
      </c>
      <c r="B146" s="171">
        <f t="shared" si="19"/>
        <v>2086.3886248819185</v>
      </c>
      <c r="C146" s="171">
        <f t="shared" si="20"/>
        <v>1535.6624743772645</v>
      </c>
      <c r="D146" s="171">
        <f t="shared" si="21"/>
        <v>550.72615050465402</v>
      </c>
      <c r="E146" s="169">
        <f t="shared" si="18"/>
        <v>0</v>
      </c>
      <c r="F146" s="169"/>
      <c r="G146" s="170">
        <f t="shared" si="22"/>
        <v>262705.69802845496</v>
      </c>
      <c r="H146" s="182">
        <f>SUM(D135:D146)</f>
        <v>6401.9363340863129</v>
      </c>
    </row>
    <row r="147" spans="1:8" s="181" customFormat="1">
      <c r="A147" s="177">
        <v>133</v>
      </c>
      <c r="B147" s="178">
        <f t="shared" si="19"/>
        <v>2086.3886248819185</v>
      </c>
      <c r="C147" s="178">
        <f t="shared" si="20"/>
        <v>1532.4499051659873</v>
      </c>
      <c r="D147" s="178">
        <f t="shared" si="21"/>
        <v>553.93871971593126</v>
      </c>
      <c r="E147" s="179">
        <f t="shared" si="18"/>
        <v>0</v>
      </c>
      <c r="F147" s="179"/>
      <c r="G147" s="180">
        <f t="shared" si="22"/>
        <v>262151.75930873904</v>
      </c>
    </row>
    <row r="148" spans="1:8">
      <c r="A148" s="168">
        <v>134</v>
      </c>
      <c r="B148" s="171">
        <f t="shared" si="19"/>
        <v>2086.3886248819185</v>
      </c>
      <c r="C148" s="171">
        <f t="shared" si="20"/>
        <v>1529.2185959676444</v>
      </c>
      <c r="D148" s="171">
        <f t="shared" si="21"/>
        <v>557.1700289142741</v>
      </c>
      <c r="E148" s="169">
        <f t="shared" ref="E148:E207" si="23">IF(G147-D148&gt;=$B$7,$B$7,G147-D148)</f>
        <v>0</v>
      </c>
      <c r="F148" s="169"/>
      <c r="G148" s="170">
        <f t="shared" si="22"/>
        <v>261594.58927982478</v>
      </c>
    </row>
    <row r="149" spans="1:8">
      <c r="A149" s="168">
        <v>135</v>
      </c>
      <c r="B149" s="171">
        <f t="shared" si="19"/>
        <v>2086.3886248819185</v>
      </c>
      <c r="C149" s="171">
        <f t="shared" si="20"/>
        <v>1525.9684374656447</v>
      </c>
      <c r="D149" s="171">
        <f t="shared" si="21"/>
        <v>560.42018741627385</v>
      </c>
      <c r="E149" s="169">
        <f t="shared" si="23"/>
        <v>0</v>
      </c>
      <c r="F149" s="169"/>
      <c r="G149" s="170">
        <f t="shared" si="22"/>
        <v>261034.1690924085</v>
      </c>
    </row>
    <row r="150" spans="1:8">
      <c r="A150" s="168">
        <v>136</v>
      </c>
      <c r="B150" s="171">
        <f t="shared" si="19"/>
        <v>2086.3886248819185</v>
      </c>
      <c r="C150" s="171">
        <f t="shared" si="20"/>
        <v>1522.6993197057163</v>
      </c>
      <c r="D150" s="171">
        <f t="shared" si="21"/>
        <v>563.6893051762022</v>
      </c>
      <c r="E150" s="169">
        <f t="shared" si="23"/>
        <v>0</v>
      </c>
      <c r="F150" s="169"/>
      <c r="G150" s="170">
        <f t="shared" si="22"/>
        <v>260470.4797872323</v>
      </c>
    </row>
    <row r="151" spans="1:8">
      <c r="A151" s="168">
        <v>137</v>
      </c>
      <c r="B151" s="171">
        <f t="shared" si="19"/>
        <v>2086.3886248819185</v>
      </c>
      <c r="C151" s="171">
        <f t="shared" si="20"/>
        <v>1519.4111320921884</v>
      </c>
      <c r="D151" s="171">
        <f t="shared" si="21"/>
        <v>566.97749278973015</v>
      </c>
      <c r="E151" s="169">
        <f t="shared" si="23"/>
        <v>0</v>
      </c>
      <c r="F151" s="169"/>
      <c r="G151" s="170">
        <f t="shared" si="22"/>
        <v>259903.50229444256</v>
      </c>
    </row>
    <row r="152" spans="1:8">
      <c r="A152" s="168">
        <v>138</v>
      </c>
      <c r="B152" s="171">
        <f t="shared" si="19"/>
        <v>2086.3886248819185</v>
      </c>
      <c r="C152" s="171">
        <f t="shared" si="20"/>
        <v>1516.1037633842484</v>
      </c>
      <c r="D152" s="171">
        <f t="shared" si="21"/>
        <v>570.28486149767014</v>
      </c>
      <c r="E152" s="169">
        <f t="shared" si="23"/>
        <v>0</v>
      </c>
      <c r="F152" s="169"/>
      <c r="G152" s="170">
        <f t="shared" si="22"/>
        <v>259333.21743294489</v>
      </c>
    </row>
    <row r="153" spans="1:8">
      <c r="A153" s="168">
        <v>139</v>
      </c>
      <c r="B153" s="171">
        <f t="shared" si="19"/>
        <v>2086.3886248819185</v>
      </c>
      <c r="C153" s="171">
        <f t="shared" si="20"/>
        <v>1512.7771016921786</v>
      </c>
      <c r="D153" s="171">
        <f t="shared" si="21"/>
        <v>573.61152318973996</v>
      </c>
      <c r="E153" s="169">
        <f t="shared" si="23"/>
        <v>0</v>
      </c>
      <c r="F153" s="169"/>
      <c r="G153" s="170">
        <f t="shared" si="22"/>
        <v>258759.60590975516</v>
      </c>
    </row>
    <row r="154" spans="1:8">
      <c r="A154" s="168">
        <v>140</v>
      </c>
      <c r="B154" s="171">
        <f t="shared" si="19"/>
        <v>2086.3886248819185</v>
      </c>
      <c r="C154" s="171">
        <f t="shared" si="20"/>
        <v>1509.4310344735718</v>
      </c>
      <c r="D154" s="171">
        <f t="shared" si="21"/>
        <v>576.95759040834673</v>
      </c>
      <c r="E154" s="169">
        <f t="shared" si="23"/>
        <v>0</v>
      </c>
      <c r="F154" s="169"/>
      <c r="G154" s="170">
        <f t="shared" si="22"/>
        <v>258182.64831934683</v>
      </c>
    </row>
    <row r="155" spans="1:8">
      <c r="A155" s="168">
        <v>141</v>
      </c>
      <c r="B155" s="171">
        <f t="shared" si="19"/>
        <v>2086.3886248819185</v>
      </c>
      <c r="C155" s="171">
        <f t="shared" si="20"/>
        <v>1506.0654485295233</v>
      </c>
      <c r="D155" s="171">
        <f t="shared" si="21"/>
        <v>580.32317635239519</v>
      </c>
      <c r="E155" s="169">
        <f t="shared" si="23"/>
        <v>0</v>
      </c>
      <c r="F155" s="169"/>
      <c r="G155" s="170">
        <f t="shared" si="22"/>
        <v>257602.32514299444</v>
      </c>
    </row>
    <row r="156" spans="1:8">
      <c r="A156" s="168">
        <v>142</v>
      </c>
      <c r="B156" s="171">
        <f t="shared" si="19"/>
        <v>2086.3886248819185</v>
      </c>
      <c r="C156" s="171">
        <f t="shared" si="20"/>
        <v>1502.680230000801</v>
      </c>
      <c r="D156" s="171">
        <f t="shared" si="21"/>
        <v>583.70839488111756</v>
      </c>
      <c r="E156" s="169">
        <f t="shared" si="23"/>
        <v>0</v>
      </c>
      <c r="F156" s="169"/>
      <c r="G156" s="170">
        <f t="shared" si="22"/>
        <v>257018.61674811333</v>
      </c>
    </row>
    <row r="157" spans="1:8">
      <c r="A157" s="168">
        <v>143</v>
      </c>
      <c r="B157" s="171">
        <f t="shared" si="19"/>
        <v>2086.3886248819185</v>
      </c>
      <c r="C157" s="171">
        <f t="shared" si="20"/>
        <v>1499.2752643639944</v>
      </c>
      <c r="D157" s="171">
        <f t="shared" si="21"/>
        <v>587.11336051792409</v>
      </c>
      <c r="E157" s="169">
        <f t="shared" si="23"/>
        <v>0</v>
      </c>
      <c r="F157" s="169"/>
      <c r="G157" s="170">
        <f t="shared" si="22"/>
        <v>256431.50338759541</v>
      </c>
    </row>
    <row r="158" spans="1:8">
      <c r="A158" s="168">
        <v>144</v>
      </c>
      <c r="B158" s="171">
        <f t="shared" si="19"/>
        <v>2086.3886248819185</v>
      </c>
      <c r="C158" s="171">
        <f t="shared" si="20"/>
        <v>1495.85043642764</v>
      </c>
      <c r="D158" s="171">
        <f t="shared" si="21"/>
        <v>590.5381884542785</v>
      </c>
      <c r="E158" s="169">
        <f t="shared" si="23"/>
        <v>0</v>
      </c>
      <c r="F158" s="169"/>
      <c r="G158" s="170">
        <f t="shared" si="22"/>
        <v>255840.96519914112</v>
      </c>
      <c r="H158" s="182">
        <f>SUM(D147:D158)</f>
        <v>6864.7328293138835</v>
      </c>
    </row>
    <row r="159" spans="1:8">
      <c r="A159" s="168">
        <v>145</v>
      </c>
      <c r="B159" s="171">
        <f t="shared" si="19"/>
        <v>2086.3886248819185</v>
      </c>
      <c r="C159" s="171">
        <f t="shared" si="20"/>
        <v>1492.4056303283232</v>
      </c>
      <c r="D159" s="171">
        <f t="shared" si="21"/>
        <v>593.98299455359529</v>
      </c>
      <c r="E159" s="169">
        <f t="shared" si="23"/>
        <v>0</v>
      </c>
      <c r="F159" s="169"/>
      <c r="G159" s="170">
        <f t="shared" si="22"/>
        <v>255246.98220458752</v>
      </c>
    </row>
    <row r="160" spans="1:8">
      <c r="A160" s="168">
        <v>146</v>
      </c>
      <c r="B160" s="171">
        <f t="shared" si="19"/>
        <v>2086.3886248819185</v>
      </c>
      <c r="C160" s="171">
        <f t="shared" si="20"/>
        <v>1488.9407295267606</v>
      </c>
      <c r="D160" s="171">
        <f t="shared" si="21"/>
        <v>597.44789535515793</v>
      </c>
      <c r="E160" s="169">
        <f t="shared" si="23"/>
        <v>0</v>
      </c>
      <c r="F160" s="169"/>
      <c r="G160" s="170">
        <f t="shared" si="22"/>
        <v>254649.53430923237</v>
      </c>
    </row>
    <row r="161" spans="1:8">
      <c r="A161" s="168">
        <v>147</v>
      </c>
      <c r="B161" s="171">
        <f t="shared" si="19"/>
        <v>2086.3886248819185</v>
      </c>
      <c r="C161" s="171">
        <f t="shared" si="20"/>
        <v>1485.4556168038555</v>
      </c>
      <c r="D161" s="171">
        <f t="shared" si="21"/>
        <v>600.93300807806304</v>
      </c>
      <c r="E161" s="169">
        <f t="shared" si="23"/>
        <v>0</v>
      </c>
      <c r="F161" s="169"/>
      <c r="G161" s="170">
        <f t="shared" si="22"/>
        <v>254048.60130115433</v>
      </c>
    </row>
    <row r="162" spans="1:8">
      <c r="A162" s="168">
        <v>148</v>
      </c>
      <c r="B162" s="171">
        <f t="shared" si="19"/>
        <v>2086.3886248819185</v>
      </c>
      <c r="C162" s="171">
        <f t="shared" si="20"/>
        <v>1481.9501742567336</v>
      </c>
      <c r="D162" s="171">
        <f t="shared" si="21"/>
        <v>604.43845062518494</v>
      </c>
      <c r="E162" s="169">
        <f t="shared" si="23"/>
        <v>0</v>
      </c>
      <c r="F162" s="169"/>
      <c r="G162" s="170">
        <f t="shared" si="22"/>
        <v>253444.16285052913</v>
      </c>
    </row>
    <row r="163" spans="1:8">
      <c r="A163" s="168">
        <v>149</v>
      </c>
      <c r="B163" s="171">
        <f t="shared" si="19"/>
        <v>2086.3886248819185</v>
      </c>
      <c r="C163" s="171">
        <f t="shared" si="20"/>
        <v>1478.4242832947534</v>
      </c>
      <c r="D163" s="171">
        <f t="shared" si="21"/>
        <v>607.96434158716511</v>
      </c>
      <c r="E163" s="169">
        <f t="shared" si="23"/>
        <v>0</v>
      </c>
      <c r="F163" s="169"/>
      <c r="G163" s="170">
        <f t="shared" si="22"/>
        <v>252836.19850894198</v>
      </c>
    </row>
    <row r="164" spans="1:8">
      <c r="A164" s="168">
        <v>150</v>
      </c>
      <c r="B164" s="171">
        <f t="shared" si="19"/>
        <v>2086.3886248819185</v>
      </c>
      <c r="C164" s="171">
        <f t="shared" si="20"/>
        <v>1474.877824635495</v>
      </c>
      <c r="D164" s="171">
        <f t="shared" si="21"/>
        <v>611.51080024642351</v>
      </c>
      <c r="E164" s="169">
        <f t="shared" si="23"/>
        <v>0</v>
      </c>
      <c r="F164" s="169"/>
      <c r="G164" s="170">
        <f t="shared" si="22"/>
        <v>252224.68770869556</v>
      </c>
    </row>
    <row r="165" spans="1:8">
      <c r="A165" s="168">
        <v>151</v>
      </c>
      <c r="B165" s="171">
        <f t="shared" si="19"/>
        <v>2086.3886248819185</v>
      </c>
      <c r="C165" s="171">
        <f t="shared" si="20"/>
        <v>1471.3106783007242</v>
      </c>
      <c r="D165" s="171">
        <f t="shared" si="21"/>
        <v>615.07794658119428</v>
      </c>
      <c r="E165" s="169">
        <f t="shared" si="23"/>
        <v>0</v>
      </c>
      <c r="F165" s="169"/>
      <c r="G165" s="170">
        <f t="shared" si="22"/>
        <v>251609.60976211436</v>
      </c>
    </row>
    <row r="166" spans="1:8">
      <c r="A166" s="168">
        <v>152</v>
      </c>
      <c r="B166" s="171">
        <f t="shared" si="19"/>
        <v>2086.3886248819185</v>
      </c>
      <c r="C166" s="171">
        <f t="shared" si="20"/>
        <v>1467.7227236123338</v>
      </c>
      <c r="D166" s="171">
        <f t="shared" si="21"/>
        <v>618.66590126958477</v>
      </c>
      <c r="E166" s="169">
        <f t="shared" si="23"/>
        <v>0</v>
      </c>
      <c r="F166" s="169"/>
      <c r="G166" s="170">
        <f t="shared" si="22"/>
        <v>250990.94386084477</v>
      </c>
    </row>
    <row r="167" spans="1:8">
      <c r="A167" s="168">
        <v>153</v>
      </c>
      <c r="B167" s="171">
        <f t="shared" si="19"/>
        <v>2086.3886248819185</v>
      </c>
      <c r="C167" s="171">
        <f t="shared" si="20"/>
        <v>1464.1138391882612</v>
      </c>
      <c r="D167" s="171">
        <f t="shared" si="21"/>
        <v>622.27478569365735</v>
      </c>
      <c r="E167" s="169">
        <f t="shared" si="23"/>
        <v>0</v>
      </c>
      <c r="F167" s="169"/>
      <c r="G167" s="170">
        <f t="shared" si="22"/>
        <v>250368.66907515112</v>
      </c>
    </row>
    <row r="168" spans="1:8">
      <c r="A168" s="168">
        <v>154</v>
      </c>
      <c r="B168" s="171">
        <f t="shared" si="19"/>
        <v>2086.3886248819185</v>
      </c>
      <c r="C168" s="171">
        <f t="shared" si="20"/>
        <v>1460.4839029383816</v>
      </c>
      <c r="D168" s="171">
        <f t="shared" si="21"/>
        <v>625.90472194353697</v>
      </c>
      <c r="E168" s="169">
        <f t="shared" si="23"/>
        <v>0</v>
      </c>
      <c r="F168" s="169"/>
      <c r="G168" s="170">
        <f t="shared" si="22"/>
        <v>249742.76435320757</v>
      </c>
    </row>
    <row r="169" spans="1:8">
      <c r="A169" s="168">
        <v>155</v>
      </c>
      <c r="B169" s="171">
        <f t="shared" si="19"/>
        <v>2086.3886248819185</v>
      </c>
      <c r="C169" s="171">
        <f t="shared" si="20"/>
        <v>1456.8327920603776</v>
      </c>
      <c r="D169" s="171">
        <f t="shared" si="21"/>
        <v>629.55583282154089</v>
      </c>
      <c r="E169" s="169">
        <f t="shared" si="23"/>
        <v>0</v>
      </c>
      <c r="F169" s="169"/>
      <c r="G169" s="170">
        <f t="shared" si="22"/>
        <v>249113.20852038605</v>
      </c>
    </row>
    <row r="170" spans="1:8">
      <c r="A170" s="168">
        <v>156</v>
      </c>
      <c r="B170" s="171">
        <f t="shared" si="19"/>
        <v>2086.3886248819185</v>
      </c>
      <c r="C170" s="171">
        <f t="shared" si="20"/>
        <v>1453.1603830355853</v>
      </c>
      <c r="D170" s="171">
        <f t="shared" si="21"/>
        <v>633.22824184633328</v>
      </c>
      <c r="E170" s="169">
        <f t="shared" si="23"/>
        <v>0</v>
      </c>
      <c r="F170" s="169"/>
      <c r="G170" s="170">
        <f t="shared" si="22"/>
        <v>248479.9802785397</v>
      </c>
      <c r="H170" s="182">
        <f>SUM(D159:D170)</f>
        <v>7360.9849206014369</v>
      </c>
    </row>
    <row r="171" spans="1:8">
      <c r="A171" s="168">
        <v>157</v>
      </c>
      <c r="B171" s="171">
        <f t="shared" si="19"/>
        <v>2086.3886248819185</v>
      </c>
      <c r="C171" s="171">
        <f t="shared" si="20"/>
        <v>1449.4665516248151</v>
      </c>
      <c r="D171" s="171">
        <f t="shared" si="21"/>
        <v>636.92207325710342</v>
      </c>
      <c r="E171" s="169">
        <f t="shared" si="23"/>
        <v>0</v>
      </c>
      <c r="F171" s="169"/>
      <c r="G171" s="170">
        <f t="shared" si="22"/>
        <v>247843.05820528261</v>
      </c>
    </row>
    <row r="172" spans="1:8">
      <c r="A172" s="168">
        <v>158</v>
      </c>
      <c r="B172" s="171">
        <f t="shared" si="19"/>
        <v>2086.3886248819185</v>
      </c>
      <c r="C172" s="171">
        <f t="shared" si="20"/>
        <v>1445.7511728641487</v>
      </c>
      <c r="D172" s="171">
        <f t="shared" si="21"/>
        <v>640.63745201776987</v>
      </c>
      <c r="E172" s="169">
        <f t="shared" si="23"/>
        <v>0</v>
      </c>
      <c r="F172" s="169"/>
      <c r="G172" s="170">
        <f t="shared" si="22"/>
        <v>247202.42075326483</v>
      </c>
    </row>
    <row r="173" spans="1:8">
      <c r="A173" s="168">
        <v>159</v>
      </c>
      <c r="B173" s="171">
        <f t="shared" si="19"/>
        <v>2086.3886248819185</v>
      </c>
      <c r="C173" s="171">
        <f t="shared" si="20"/>
        <v>1442.0141210607117</v>
      </c>
      <c r="D173" s="171">
        <f t="shared" si="21"/>
        <v>644.37450382120687</v>
      </c>
      <c r="E173" s="169">
        <f t="shared" si="23"/>
        <v>0</v>
      </c>
      <c r="F173" s="169"/>
      <c r="G173" s="170">
        <f t="shared" si="22"/>
        <v>246558.04624944364</v>
      </c>
    </row>
    <row r="174" spans="1:8">
      <c r="A174" s="168">
        <v>160</v>
      </c>
      <c r="B174" s="171">
        <f t="shared" si="19"/>
        <v>2086.3886248819185</v>
      </c>
      <c r="C174" s="171">
        <f t="shared" si="20"/>
        <v>1438.2552697884212</v>
      </c>
      <c r="D174" s="171">
        <f t="shared" si="21"/>
        <v>648.13335509349736</v>
      </c>
      <c r="E174" s="169">
        <f t="shared" si="23"/>
        <v>0</v>
      </c>
      <c r="F174" s="169"/>
      <c r="G174" s="170">
        <f t="shared" si="22"/>
        <v>245909.91289435013</v>
      </c>
    </row>
    <row r="175" spans="1:8">
      <c r="A175" s="168">
        <v>161</v>
      </c>
      <c r="B175" s="171">
        <f t="shared" si="19"/>
        <v>2086.3886248819185</v>
      </c>
      <c r="C175" s="171">
        <f t="shared" si="20"/>
        <v>1434.4744918837091</v>
      </c>
      <c r="D175" s="171">
        <f t="shared" si="21"/>
        <v>651.91413299820942</v>
      </c>
      <c r="E175" s="169">
        <f t="shared" si="23"/>
        <v>0</v>
      </c>
      <c r="F175" s="169"/>
      <c r="G175" s="170">
        <f t="shared" si="22"/>
        <v>245257.99876135192</v>
      </c>
    </row>
    <row r="176" spans="1:8">
      <c r="A176" s="168">
        <v>162</v>
      </c>
      <c r="B176" s="171">
        <f t="shared" si="19"/>
        <v>2086.3886248819185</v>
      </c>
      <c r="C176" s="171">
        <f t="shared" si="20"/>
        <v>1430.6716594412196</v>
      </c>
      <c r="D176" s="171">
        <f t="shared" si="21"/>
        <v>655.71696544069891</v>
      </c>
      <c r="E176" s="169">
        <f t="shared" si="23"/>
        <v>0</v>
      </c>
      <c r="F176" s="169"/>
      <c r="G176" s="170">
        <f t="shared" si="22"/>
        <v>244602.28179591123</v>
      </c>
    </row>
    <row r="177" spans="1:8">
      <c r="A177" s="168">
        <v>163</v>
      </c>
      <c r="B177" s="171">
        <f t="shared" si="19"/>
        <v>2086.3886248819185</v>
      </c>
      <c r="C177" s="171">
        <f t="shared" si="20"/>
        <v>1426.8466438094822</v>
      </c>
      <c r="D177" s="171">
        <f t="shared" si="21"/>
        <v>659.54198107243633</v>
      </c>
      <c r="E177" s="169">
        <f t="shared" si="23"/>
        <v>0</v>
      </c>
      <c r="F177" s="169"/>
      <c r="G177" s="170">
        <f t="shared" si="22"/>
        <v>243942.7398148388</v>
      </c>
    </row>
    <row r="178" spans="1:8">
      <c r="A178" s="168">
        <v>164</v>
      </c>
      <c r="B178" s="171">
        <f t="shared" si="19"/>
        <v>2086.3886248819185</v>
      </c>
      <c r="C178" s="171">
        <f t="shared" si="20"/>
        <v>1422.9993155865598</v>
      </c>
      <c r="D178" s="171">
        <f t="shared" si="21"/>
        <v>663.38930929535877</v>
      </c>
      <c r="E178" s="169">
        <f t="shared" si="23"/>
        <v>0</v>
      </c>
      <c r="F178" s="169"/>
      <c r="G178" s="170">
        <f t="shared" si="22"/>
        <v>243279.35050554344</v>
      </c>
    </row>
    <row r="179" spans="1:8">
      <c r="A179" s="168">
        <v>165</v>
      </c>
      <c r="B179" s="171">
        <f t="shared" si="19"/>
        <v>2086.3886248819185</v>
      </c>
      <c r="C179" s="171">
        <f t="shared" si="20"/>
        <v>1419.1295446156701</v>
      </c>
      <c r="D179" s="171">
        <f t="shared" si="21"/>
        <v>667.25908026624847</v>
      </c>
      <c r="E179" s="169">
        <f t="shared" si="23"/>
        <v>0</v>
      </c>
      <c r="F179" s="169"/>
      <c r="G179" s="170">
        <f t="shared" si="22"/>
        <v>242612.09142527718</v>
      </c>
    </row>
    <row r="180" spans="1:8">
      <c r="A180" s="168">
        <v>166</v>
      </c>
      <c r="B180" s="171">
        <f t="shared" si="19"/>
        <v>2086.3886248819185</v>
      </c>
      <c r="C180" s="171">
        <f t="shared" si="20"/>
        <v>1415.2371999807835</v>
      </c>
      <c r="D180" s="171">
        <f t="shared" si="21"/>
        <v>671.15142490113499</v>
      </c>
      <c r="E180" s="169">
        <f t="shared" si="23"/>
        <v>0</v>
      </c>
      <c r="F180" s="169"/>
      <c r="G180" s="170">
        <f t="shared" si="22"/>
        <v>241940.94000037605</v>
      </c>
    </row>
    <row r="181" spans="1:8">
      <c r="A181" s="168">
        <v>167</v>
      </c>
      <c r="B181" s="171">
        <f t="shared" si="19"/>
        <v>2086.3886248819185</v>
      </c>
      <c r="C181" s="171">
        <f t="shared" si="20"/>
        <v>1411.3221500021937</v>
      </c>
      <c r="D181" s="171">
        <f t="shared" si="21"/>
        <v>675.06647487972486</v>
      </c>
      <c r="E181" s="169">
        <f t="shared" si="23"/>
        <v>0</v>
      </c>
      <c r="F181" s="169"/>
      <c r="G181" s="170">
        <f t="shared" si="22"/>
        <v>241265.87352549634</v>
      </c>
    </row>
    <row r="182" spans="1:8">
      <c r="A182" s="168">
        <v>168</v>
      </c>
      <c r="B182" s="171">
        <f t="shared" si="19"/>
        <v>2086.3886248819185</v>
      </c>
      <c r="C182" s="171">
        <f t="shared" si="20"/>
        <v>1407.3842622320622</v>
      </c>
      <c r="D182" s="171">
        <f t="shared" si="21"/>
        <v>679.00436264985638</v>
      </c>
      <c r="E182" s="169">
        <f t="shared" si="23"/>
        <v>0</v>
      </c>
      <c r="F182" s="169"/>
      <c r="G182" s="170">
        <f t="shared" si="22"/>
        <v>240586.86916284647</v>
      </c>
      <c r="H182" s="182">
        <f>SUM(D171:D182)</f>
        <v>7893.1111156932466</v>
      </c>
    </row>
    <row r="183" spans="1:8">
      <c r="A183" s="168">
        <v>169</v>
      </c>
      <c r="B183" s="171">
        <f t="shared" si="19"/>
        <v>2086.3886248819185</v>
      </c>
      <c r="C183" s="171">
        <f t="shared" si="20"/>
        <v>1403.4234034499377</v>
      </c>
      <c r="D183" s="171">
        <f t="shared" si="21"/>
        <v>682.96522143198081</v>
      </c>
      <c r="E183" s="169">
        <f t="shared" si="23"/>
        <v>0</v>
      </c>
      <c r="F183" s="169"/>
      <c r="G183" s="170">
        <f t="shared" si="22"/>
        <v>239903.90394141449</v>
      </c>
    </row>
    <row r="184" spans="1:8">
      <c r="A184" s="168">
        <v>170</v>
      </c>
      <c r="B184" s="171">
        <f t="shared" si="19"/>
        <v>2086.3886248819185</v>
      </c>
      <c r="C184" s="171">
        <f t="shared" si="20"/>
        <v>1399.4394396582513</v>
      </c>
      <c r="D184" s="171">
        <f t="shared" si="21"/>
        <v>686.9491852236672</v>
      </c>
      <c r="E184" s="169">
        <f t="shared" si="23"/>
        <v>0</v>
      </c>
      <c r="F184" s="169"/>
      <c r="G184" s="170">
        <f t="shared" si="22"/>
        <v>239216.95475619083</v>
      </c>
    </row>
    <row r="185" spans="1:8">
      <c r="A185" s="168">
        <v>171</v>
      </c>
      <c r="B185" s="171">
        <f t="shared" si="19"/>
        <v>2086.3886248819185</v>
      </c>
      <c r="C185" s="171">
        <f t="shared" si="20"/>
        <v>1395.4322360777799</v>
      </c>
      <c r="D185" s="171">
        <f t="shared" si="21"/>
        <v>690.95638880413867</v>
      </c>
      <c r="E185" s="169">
        <f t="shared" si="23"/>
        <v>0</v>
      </c>
      <c r="F185" s="169"/>
      <c r="G185" s="170">
        <f t="shared" si="22"/>
        <v>238525.9983673867</v>
      </c>
    </row>
    <row r="186" spans="1:8">
      <c r="A186" s="168">
        <v>172</v>
      </c>
      <c r="B186" s="171">
        <f t="shared" si="19"/>
        <v>2086.3886248819185</v>
      </c>
      <c r="C186" s="171">
        <f t="shared" si="20"/>
        <v>1391.4016571430891</v>
      </c>
      <c r="D186" s="171">
        <f t="shared" si="21"/>
        <v>694.98696773882943</v>
      </c>
      <c r="E186" s="169">
        <f t="shared" si="23"/>
        <v>0</v>
      </c>
      <c r="F186" s="169"/>
      <c r="G186" s="170">
        <f t="shared" si="22"/>
        <v>237831.01139964786</v>
      </c>
    </row>
    <row r="187" spans="1:8">
      <c r="A187" s="168">
        <v>173</v>
      </c>
      <c r="B187" s="171">
        <f t="shared" si="19"/>
        <v>2086.3886248819185</v>
      </c>
      <c r="C187" s="171">
        <f t="shared" si="20"/>
        <v>1387.347566497946</v>
      </c>
      <c r="D187" s="171">
        <f t="shared" si="21"/>
        <v>699.04105838397254</v>
      </c>
      <c r="E187" s="169">
        <f t="shared" si="23"/>
        <v>0</v>
      </c>
      <c r="F187" s="169"/>
      <c r="G187" s="170">
        <f t="shared" si="22"/>
        <v>237131.97034126389</v>
      </c>
    </row>
    <row r="188" spans="1:8">
      <c r="A188" s="168">
        <v>174</v>
      </c>
      <c r="B188" s="171">
        <f t="shared" si="19"/>
        <v>2086.3886248819185</v>
      </c>
      <c r="C188" s="171">
        <f t="shared" si="20"/>
        <v>1383.2698269907062</v>
      </c>
      <c r="D188" s="171">
        <f t="shared" si="21"/>
        <v>703.11879789121235</v>
      </c>
      <c r="E188" s="169">
        <f t="shared" si="23"/>
        <v>0</v>
      </c>
      <c r="F188" s="169"/>
      <c r="G188" s="170">
        <f t="shared" si="22"/>
        <v>236428.85154337267</v>
      </c>
    </row>
    <row r="189" spans="1:8">
      <c r="A189" s="168">
        <v>175</v>
      </c>
      <c r="B189" s="171">
        <f t="shared" si="19"/>
        <v>2086.3886248819185</v>
      </c>
      <c r="C189" s="171">
        <f t="shared" si="20"/>
        <v>1379.168300669674</v>
      </c>
      <c r="D189" s="171">
        <f t="shared" si="21"/>
        <v>707.22032421224458</v>
      </c>
      <c r="E189" s="169">
        <f t="shared" si="23"/>
        <v>0</v>
      </c>
      <c r="F189" s="169"/>
      <c r="G189" s="170">
        <f t="shared" si="22"/>
        <v>235721.63121916042</v>
      </c>
    </row>
    <row r="190" spans="1:8">
      <c r="A190" s="168">
        <v>176</v>
      </c>
      <c r="B190" s="171">
        <f t="shared" si="19"/>
        <v>2086.3886248819185</v>
      </c>
      <c r="C190" s="171">
        <f t="shared" si="20"/>
        <v>1375.0428487784359</v>
      </c>
      <c r="D190" s="171">
        <f t="shared" si="21"/>
        <v>711.34577610348265</v>
      </c>
      <c r="E190" s="169">
        <f t="shared" si="23"/>
        <v>0</v>
      </c>
      <c r="F190" s="169"/>
      <c r="G190" s="170">
        <f t="shared" si="22"/>
        <v>235010.28544305693</v>
      </c>
    </row>
    <row r="191" spans="1:8">
      <c r="A191" s="168">
        <v>177</v>
      </c>
      <c r="B191" s="171">
        <f t="shared" si="19"/>
        <v>2086.3886248819185</v>
      </c>
      <c r="C191" s="171">
        <f t="shared" si="20"/>
        <v>1370.8933317511655</v>
      </c>
      <c r="D191" s="171">
        <f t="shared" si="21"/>
        <v>715.495293130753</v>
      </c>
      <c r="E191" s="169">
        <f t="shared" si="23"/>
        <v>0</v>
      </c>
      <c r="F191" s="169"/>
      <c r="G191" s="170">
        <f t="shared" si="22"/>
        <v>234294.79014992618</v>
      </c>
    </row>
    <row r="192" spans="1:8">
      <c r="A192" s="168">
        <v>178</v>
      </c>
      <c r="B192" s="171">
        <f t="shared" si="19"/>
        <v>2086.3886248819185</v>
      </c>
      <c r="C192" s="171">
        <f t="shared" si="20"/>
        <v>1366.7196092079027</v>
      </c>
      <c r="D192" s="171">
        <f t="shared" si="21"/>
        <v>719.66901567401578</v>
      </c>
      <c r="E192" s="169">
        <f t="shared" si="23"/>
        <v>0</v>
      </c>
      <c r="F192" s="169"/>
      <c r="G192" s="170">
        <f t="shared" si="22"/>
        <v>233575.12113425217</v>
      </c>
    </row>
    <row r="193" spans="1:9">
      <c r="A193" s="168">
        <v>179</v>
      </c>
      <c r="B193" s="171">
        <f t="shared" si="19"/>
        <v>2086.3886248819185</v>
      </c>
      <c r="C193" s="171">
        <f t="shared" si="20"/>
        <v>1362.5215399498045</v>
      </c>
      <c r="D193" s="171">
        <f t="shared" si="21"/>
        <v>723.86708493211404</v>
      </c>
      <c r="E193" s="169">
        <f t="shared" si="23"/>
        <v>0</v>
      </c>
      <c r="F193" s="169"/>
      <c r="G193" s="170">
        <f t="shared" si="22"/>
        <v>232851.25404932006</v>
      </c>
    </row>
    <row r="194" spans="1:9">
      <c r="A194" s="168">
        <v>180</v>
      </c>
      <c r="B194" s="171">
        <f t="shared" si="19"/>
        <v>2086.3886248819185</v>
      </c>
      <c r="C194" s="171">
        <f t="shared" si="20"/>
        <v>1358.298981954367</v>
      </c>
      <c r="D194" s="171">
        <f t="shared" si="21"/>
        <v>728.08964292755149</v>
      </c>
      <c r="E194" s="169">
        <f t="shared" si="23"/>
        <v>0</v>
      </c>
      <c r="F194" s="169"/>
      <c r="G194" s="170">
        <f t="shared" si="22"/>
        <v>232123.16440639252</v>
      </c>
      <c r="H194" s="182">
        <f>SUM(D183:D194)</f>
        <v>8463.7047564539625</v>
      </c>
    </row>
    <row r="195" spans="1:9">
      <c r="A195" s="168">
        <v>181</v>
      </c>
      <c r="B195" s="171">
        <f t="shared" si="19"/>
        <v>2086.3886248819185</v>
      </c>
      <c r="C195" s="171">
        <f t="shared" si="20"/>
        <v>1354.0517923706232</v>
      </c>
      <c r="D195" s="171">
        <f t="shared" si="21"/>
        <v>732.33683251129537</v>
      </c>
      <c r="E195" s="169">
        <f t="shared" si="23"/>
        <v>0</v>
      </c>
      <c r="F195" s="169"/>
      <c r="G195" s="170">
        <f t="shared" si="22"/>
        <v>231390.82757388122</v>
      </c>
    </row>
    <row r="196" spans="1:9">
      <c r="A196" s="168">
        <v>182</v>
      </c>
      <c r="B196" s="171">
        <f t="shared" si="19"/>
        <v>2086.3886248819185</v>
      </c>
      <c r="C196" s="171">
        <f t="shared" si="20"/>
        <v>1349.7798275143073</v>
      </c>
      <c r="D196" s="171">
        <f t="shared" si="21"/>
        <v>736.60879736761126</v>
      </c>
      <c r="E196" s="169">
        <f t="shared" si="23"/>
        <v>0</v>
      </c>
      <c r="F196" s="169"/>
      <c r="G196" s="170">
        <f t="shared" si="22"/>
        <v>230654.21877651362</v>
      </c>
    </row>
    <row r="197" spans="1:9">
      <c r="A197" s="168">
        <v>183</v>
      </c>
      <c r="B197" s="171">
        <f t="shared" si="19"/>
        <v>2086.3886248819185</v>
      </c>
      <c r="C197" s="171">
        <f t="shared" si="20"/>
        <v>1345.4829428629962</v>
      </c>
      <c r="D197" s="171">
        <f t="shared" si="21"/>
        <v>740.90568201892233</v>
      </c>
      <c r="E197" s="169">
        <f t="shared" si="23"/>
        <v>0</v>
      </c>
      <c r="F197" s="169"/>
      <c r="G197" s="170">
        <f t="shared" si="22"/>
        <v>229913.31309449469</v>
      </c>
    </row>
    <row r="198" spans="1:9">
      <c r="A198" s="168">
        <v>184</v>
      </c>
      <c r="B198" s="171">
        <f t="shared" si="19"/>
        <v>2086.3886248819185</v>
      </c>
      <c r="C198" s="171">
        <f t="shared" si="20"/>
        <v>1341.1609930512191</v>
      </c>
      <c r="D198" s="171">
        <f t="shared" si="21"/>
        <v>745.22763183069947</v>
      </c>
      <c r="E198" s="169">
        <f t="shared" si="23"/>
        <v>0</v>
      </c>
      <c r="F198" s="169"/>
      <c r="G198" s="170">
        <f t="shared" si="22"/>
        <v>229168.08546266399</v>
      </c>
    </row>
    <row r="199" spans="1:9">
      <c r="A199" s="168">
        <v>185</v>
      </c>
      <c r="B199" s="171">
        <f t="shared" si="19"/>
        <v>2086.3886248819185</v>
      </c>
      <c r="C199" s="171">
        <f t="shared" si="20"/>
        <v>1336.8138318655401</v>
      </c>
      <c r="D199" s="171">
        <f t="shared" si="21"/>
        <v>749.57479301637841</v>
      </c>
      <c r="E199" s="169">
        <f t="shared" si="23"/>
        <v>0</v>
      </c>
      <c r="F199" s="169"/>
      <c r="G199" s="170">
        <f t="shared" si="22"/>
        <v>228418.5106696476</v>
      </c>
    </row>
    <row r="200" spans="1:9">
      <c r="A200" s="168">
        <v>186</v>
      </c>
      <c r="B200" s="171">
        <f t="shared" si="19"/>
        <v>2086.3886248819185</v>
      </c>
      <c r="C200" s="171">
        <f t="shared" si="20"/>
        <v>1332.4413122396111</v>
      </c>
      <c r="D200" s="171">
        <f t="shared" si="21"/>
        <v>753.94731264230745</v>
      </c>
      <c r="E200" s="169">
        <f t="shared" si="23"/>
        <v>0</v>
      </c>
      <c r="F200" s="169"/>
      <c r="G200" s="170">
        <f t="shared" si="22"/>
        <v>227664.5633570053</v>
      </c>
    </row>
    <row r="201" spans="1:9">
      <c r="A201" s="168">
        <v>187</v>
      </c>
      <c r="B201" s="171">
        <f t="shared" si="19"/>
        <v>2086.3886248819185</v>
      </c>
      <c r="C201" s="171">
        <f t="shared" si="20"/>
        <v>1328.0432862491978</v>
      </c>
      <c r="D201" s="171">
        <f t="shared" si="21"/>
        <v>758.34533863272077</v>
      </c>
      <c r="E201" s="169">
        <f t="shared" si="23"/>
        <v>0</v>
      </c>
      <c r="F201" s="169"/>
      <c r="G201" s="170">
        <f t="shared" si="22"/>
        <v>226906.21801837257</v>
      </c>
    </row>
    <row r="202" spans="1:9">
      <c r="A202" s="168">
        <v>188</v>
      </c>
      <c r="B202" s="171">
        <f t="shared" si="19"/>
        <v>2086.3886248819185</v>
      </c>
      <c r="C202" s="171">
        <f t="shared" si="20"/>
        <v>1323.6196051071734</v>
      </c>
      <c r="D202" s="171">
        <f t="shared" si="21"/>
        <v>762.76901977474517</v>
      </c>
      <c r="E202" s="169">
        <f t="shared" si="23"/>
        <v>0</v>
      </c>
      <c r="F202" s="169"/>
      <c r="G202" s="170">
        <f t="shared" si="22"/>
        <v>226143.44899859783</v>
      </c>
    </row>
    <row r="203" spans="1:9">
      <c r="A203" s="168">
        <v>189</v>
      </c>
      <c r="B203" s="171">
        <f t="shared" si="19"/>
        <v>2086.3886248819185</v>
      </c>
      <c r="C203" s="171">
        <f t="shared" si="20"/>
        <v>1319.1701191584873</v>
      </c>
      <c r="D203" s="171">
        <f t="shared" si="21"/>
        <v>767.21850572343124</v>
      </c>
      <c r="E203" s="169">
        <f t="shared" si="23"/>
        <v>0</v>
      </c>
      <c r="F203" s="169"/>
      <c r="G203" s="170">
        <f t="shared" si="22"/>
        <v>225376.2304928744</v>
      </c>
    </row>
    <row r="204" spans="1:9">
      <c r="A204" s="168">
        <v>190</v>
      </c>
      <c r="B204" s="171">
        <f t="shared" si="19"/>
        <v>2086.3886248819185</v>
      </c>
      <c r="C204" s="171">
        <f t="shared" si="20"/>
        <v>1314.6946778751008</v>
      </c>
      <c r="D204" s="171">
        <f t="shared" si="21"/>
        <v>771.69394700681778</v>
      </c>
      <c r="E204" s="169">
        <f t="shared" si="23"/>
        <v>0</v>
      </c>
      <c r="F204" s="169"/>
      <c r="G204" s="170">
        <f t="shared" si="22"/>
        <v>224604.53654586757</v>
      </c>
    </row>
    <row r="205" spans="1:9">
      <c r="A205" s="168">
        <v>191</v>
      </c>
      <c r="B205" s="171">
        <f t="shared" si="19"/>
        <v>2086.3886248819185</v>
      </c>
      <c r="C205" s="171">
        <f t="shared" si="20"/>
        <v>1310.1931298508941</v>
      </c>
      <c r="D205" s="171">
        <f t="shared" si="21"/>
        <v>776.19549503102439</v>
      </c>
      <c r="E205" s="169">
        <f t="shared" si="23"/>
        <v>0</v>
      </c>
      <c r="F205" s="169"/>
      <c r="G205" s="170">
        <f t="shared" si="22"/>
        <v>223828.34105083655</v>
      </c>
    </row>
    <row r="206" spans="1:9">
      <c r="A206" s="168">
        <v>192</v>
      </c>
      <c r="B206" s="171">
        <f t="shared" si="19"/>
        <v>2086.3886248819185</v>
      </c>
      <c r="C206" s="171">
        <f t="shared" si="20"/>
        <v>1305.6653227965467</v>
      </c>
      <c r="D206" s="171">
        <f t="shared" si="21"/>
        <v>780.72330208537187</v>
      </c>
      <c r="E206" s="169">
        <f t="shared" si="23"/>
        <v>0</v>
      </c>
      <c r="F206" s="169"/>
      <c r="G206" s="170">
        <f t="shared" si="22"/>
        <v>223047.61774875119</v>
      </c>
      <c r="H206" s="182">
        <f>SUM(D195:D206)</f>
        <v>9075.5466576413273</v>
      </c>
      <c r="I206">
        <f>A206/12</f>
        <v>16</v>
      </c>
    </row>
    <row r="207" spans="1:9">
      <c r="A207" s="168">
        <v>193</v>
      </c>
      <c r="B207" s="171">
        <f t="shared" si="19"/>
        <v>2086.3886248819185</v>
      </c>
      <c r="C207" s="171">
        <f t="shared" si="20"/>
        <v>1301.111103534382</v>
      </c>
      <c r="D207" s="171">
        <f t="shared" si="21"/>
        <v>785.27752134753655</v>
      </c>
      <c r="E207" s="169">
        <f t="shared" si="23"/>
        <v>0</v>
      </c>
      <c r="F207" s="169"/>
      <c r="G207" s="170">
        <f t="shared" si="22"/>
        <v>222262.34022740365</v>
      </c>
    </row>
    <row r="208" spans="1:9">
      <c r="A208" s="168">
        <v>194</v>
      </c>
      <c r="B208" s="171">
        <f t="shared" ref="B208:B271" si="24">IF($B$6&lt;=G207,$B$6,G207+G207*$B$4/$B$5)</f>
        <v>2086.3886248819185</v>
      </c>
      <c r="C208" s="171">
        <f t="shared" ref="C208:C271" si="25">IF(B208&gt;0,$B$4/$B$5*G207,0)</f>
        <v>1296.530317993188</v>
      </c>
      <c r="D208" s="171">
        <f t="shared" ref="D208:D271" si="26">IF(B208&gt;0,MIN(B208-C208,G207),0)</f>
        <v>789.85830688873057</v>
      </c>
      <c r="E208" s="169">
        <f t="shared" ref="E208:E271" si="27">IF(G207-D208&gt;=$B$7,$B$7,G207-D208)</f>
        <v>0</v>
      </c>
      <c r="F208" s="169"/>
      <c r="G208" s="170">
        <f t="shared" ref="G208:G271" si="28">IF(ROUND(G207,5)&gt;0,G207-D208-E208,0)</f>
        <v>221472.48192051493</v>
      </c>
    </row>
    <row r="209" spans="1:9">
      <c r="A209" s="168">
        <v>195</v>
      </c>
      <c r="B209" s="171">
        <f t="shared" si="24"/>
        <v>2086.3886248819185</v>
      </c>
      <c r="C209" s="171">
        <f t="shared" si="25"/>
        <v>1291.9228112030037</v>
      </c>
      <c r="D209" s="171">
        <f t="shared" si="26"/>
        <v>794.46581367891486</v>
      </c>
      <c r="E209" s="169">
        <f t="shared" si="27"/>
        <v>0</v>
      </c>
      <c r="F209" s="169"/>
      <c r="G209" s="170">
        <f t="shared" si="28"/>
        <v>220678.016106836</v>
      </c>
    </row>
    <row r="210" spans="1:9">
      <c r="A210" s="168">
        <v>196</v>
      </c>
      <c r="B210" s="171">
        <f t="shared" si="24"/>
        <v>2086.3886248819185</v>
      </c>
      <c r="C210" s="171">
        <f t="shared" si="25"/>
        <v>1287.2884272898768</v>
      </c>
      <c r="D210" s="171">
        <f t="shared" si="26"/>
        <v>799.1001975920417</v>
      </c>
      <c r="E210" s="169">
        <f t="shared" si="27"/>
        <v>0</v>
      </c>
      <c r="F210" s="169"/>
      <c r="G210" s="170">
        <f t="shared" si="28"/>
        <v>219878.91590924395</v>
      </c>
    </row>
    <row r="211" spans="1:9">
      <c r="A211" s="168">
        <v>197</v>
      </c>
      <c r="B211" s="171">
        <f t="shared" si="24"/>
        <v>2086.3886248819185</v>
      </c>
      <c r="C211" s="171">
        <f t="shared" si="25"/>
        <v>1282.6270094705899</v>
      </c>
      <c r="D211" s="171">
        <f t="shared" si="26"/>
        <v>803.76161541132865</v>
      </c>
      <c r="E211" s="169">
        <f t="shared" si="27"/>
        <v>0</v>
      </c>
      <c r="F211" s="169"/>
      <c r="G211" s="170">
        <f t="shared" si="28"/>
        <v>219075.15429383263</v>
      </c>
    </row>
    <row r="212" spans="1:9">
      <c r="A212" s="168">
        <v>198</v>
      </c>
      <c r="B212" s="171">
        <f t="shared" si="24"/>
        <v>2086.3886248819185</v>
      </c>
      <c r="C212" s="171">
        <f t="shared" si="25"/>
        <v>1277.9384000473572</v>
      </c>
      <c r="D212" s="171">
        <f t="shared" si="26"/>
        <v>808.45022483456137</v>
      </c>
      <c r="E212" s="169">
        <f t="shared" si="27"/>
        <v>0</v>
      </c>
      <c r="F212" s="169"/>
      <c r="G212" s="170">
        <f t="shared" si="28"/>
        <v>218266.70406899808</v>
      </c>
    </row>
    <row r="213" spans="1:9">
      <c r="A213" s="168">
        <v>199</v>
      </c>
      <c r="B213" s="171">
        <f t="shared" si="24"/>
        <v>2086.3886248819185</v>
      </c>
      <c r="C213" s="171">
        <f t="shared" si="25"/>
        <v>1273.2224404024889</v>
      </c>
      <c r="D213" s="171">
        <f t="shared" si="26"/>
        <v>813.1661844794296</v>
      </c>
      <c r="E213" s="169">
        <f t="shared" si="27"/>
        <v>0</v>
      </c>
      <c r="F213" s="169"/>
      <c r="G213" s="170">
        <f t="shared" si="28"/>
        <v>217453.53788451865</v>
      </c>
    </row>
    <row r="214" spans="1:9">
      <c r="A214" s="168">
        <v>200</v>
      </c>
      <c r="B214" s="171">
        <f t="shared" si="24"/>
        <v>2086.3886248819185</v>
      </c>
      <c r="C214" s="171">
        <f t="shared" si="25"/>
        <v>1268.4789709930255</v>
      </c>
      <c r="D214" s="171">
        <f t="shared" si="26"/>
        <v>817.90965388889299</v>
      </c>
      <c r="E214" s="169">
        <f t="shared" si="27"/>
        <v>0</v>
      </c>
      <c r="F214" s="169"/>
      <c r="G214" s="170">
        <f t="shared" si="28"/>
        <v>216635.62823062975</v>
      </c>
    </row>
    <row r="215" spans="1:9">
      <c r="A215" s="168">
        <v>201</v>
      </c>
      <c r="B215" s="171">
        <f t="shared" si="24"/>
        <v>2086.3886248819185</v>
      </c>
      <c r="C215" s="171">
        <f t="shared" si="25"/>
        <v>1263.7078313453403</v>
      </c>
      <c r="D215" s="171">
        <f t="shared" si="26"/>
        <v>822.68079353657822</v>
      </c>
      <c r="E215" s="169">
        <f t="shared" si="27"/>
        <v>0</v>
      </c>
      <c r="F215" s="169"/>
      <c r="G215" s="170">
        <f t="shared" si="28"/>
        <v>215812.94743709319</v>
      </c>
    </row>
    <row r="216" spans="1:9">
      <c r="A216" s="168">
        <v>202</v>
      </c>
      <c r="B216" s="171">
        <f t="shared" si="24"/>
        <v>2086.3886248819185</v>
      </c>
      <c r="C216" s="171">
        <f t="shared" si="25"/>
        <v>1258.9088600497103</v>
      </c>
      <c r="D216" s="171">
        <f t="shared" si="26"/>
        <v>827.47976483220828</v>
      </c>
      <c r="E216" s="169">
        <f t="shared" si="27"/>
        <v>0</v>
      </c>
      <c r="F216" s="169"/>
      <c r="G216" s="170">
        <f t="shared" si="28"/>
        <v>214985.46767226097</v>
      </c>
    </row>
    <row r="217" spans="1:9">
      <c r="A217" s="168">
        <v>203</v>
      </c>
      <c r="B217" s="171">
        <f t="shared" si="24"/>
        <v>2086.3886248819185</v>
      </c>
      <c r="C217" s="171">
        <f t="shared" si="25"/>
        <v>1254.0818947548557</v>
      </c>
      <c r="D217" s="171">
        <f t="shared" si="26"/>
        <v>832.30673012706279</v>
      </c>
      <c r="E217" s="169">
        <f t="shared" si="27"/>
        <v>0</v>
      </c>
      <c r="F217" s="169"/>
      <c r="G217" s="170">
        <f t="shared" si="28"/>
        <v>214153.16094213392</v>
      </c>
    </row>
    <row r="218" spans="1:9">
      <c r="A218" s="168">
        <v>204</v>
      </c>
      <c r="B218" s="171">
        <f t="shared" si="24"/>
        <v>2086.3886248819185</v>
      </c>
      <c r="C218" s="171">
        <f t="shared" si="25"/>
        <v>1249.226772162448</v>
      </c>
      <c r="D218" s="171">
        <f t="shared" si="26"/>
        <v>837.16185271947052</v>
      </c>
      <c r="E218" s="169">
        <f t="shared" si="27"/>
        <v>0</v>
      </c>
      <c r="F218" s="169"/>
      <c r="G218" s="170">
        <f t="shared" si="28"/>
        <v>213315.99908941446</v>
      </c>
      <c r="H218" s="182">
        <f>SUM(D207:D218)</f>
        <v>9731.6186593367565</v>
      </c>
      <c r="I218">
        <f>A218/12</f>
        <v>17</v>
      </c>
    </row>
    <row r="219" spans="1:9">
      <c r="A219" s="168">
        <v>205</v>
      </c>
      <c r="B219" s="171">
        <f t="shared" si="24"/>
        <v>2086.3886248819185</v>
      </c>
      <c r="C219" s="171">
        <f t="shared" si="25"/>
        <v>1244.3433280215843</v>
      </c>
      <c r="D219" s="171">
        <f t="shared" si="26"/>
        <v>842.04529686033425</v>
      </c>
      <c r="E219" s="169">
        <f t="shared" si="27"/>
        <v>0</v>
      </c>
      <c r="F219" s="169"/>
      <c r="G219" s="170">
        <f t="shared" si="28"/>
        <v>212473.95379255412</v>
      </c>
    </row>
    <row r="220" spans="1:9">
      <c r="A220" s="168">
        <v>206</v>
      </c>
      <c r="B220" s="171">
        <f t="shared" si="24"/>
        <v>2086.3886248819185</v>
      </c>
      <c r="C220" s="171">
        <f t="shared" si="25"/>
        <v>1239.4313971232325</v>
      </c>
      <c r="D220" s="171">
        <f t="shared" si="26"/>
        <v>846.95722775868603</v>
      </c>
      <c r="E220" s="169">
        <f t="shared" si="27"/>
        <v>0</v>
      </c>
      <c r="F220" s="169"/>
      <c r="G220" s="170">
        <f t="shared" si="28"/>
        <v>211626.99656479544</v>
      </c>
    </row>
    <row r="221" spans="1:9">
      <c r="A221" s="168">
        <v>207</v>
      </c>
      <c r="B221" s="171">
        <f t="shared" si="24"/>
        <v>2086.3886248819185</v>
      </c>
      <c r="C221" s="171">
        <f t="shared" si="25"/>
        <v>1234.49081329464</v>
      </c>
      <c r="D221" s="171">
        <f t="shared" si="26"/>
        <v>851.89781158727851</v>
      </c>
      <c r="E221" s="169">
        <f t="shared" si="27"/>
        <v>0</v>
      </c>
      <c r="F221" s="169"/>
      <c r="G221" s="170">
        <f t="shared" si="28"/>
        <v>210775.09875320815</v>
      </c>
    </row>
    <row r="222" spans="1:9">
      <c r="A222" s="168">
        <v>208</v>
      </c>
      <c r="B222" s="171">
        <f t="shared" si="24"/>
        <v>2086.3886248819185</v>
      </c>
      <c r="C222" s="171">
        <f t="shared" si="25"/>
        <v>1229.5214093937143</v>
      </c>
      <c r="D222" s="171">
        <f t="shared" si="26"/>
        <v>856.86721548820424</v>
      </c>
      <c r="E222" s="169">
        <f t="shared" si="27"/>
        <v>0</v>
      </c>
      <c r="F222" s="169"/>
      <c r="G222" s="170">
        <f t="shared" si="28"/>
        <v>209918.23153771996</v>
      </c>
    </row>
    <row r="223" spans="1:9">
      <c r="A223" s="168">
        <v>209</v>
      </c>
      <c r="B223" s="171">
        <f t="shared" si="24"/>
        <v>2086.3886248819185</v>
      </c>
      <c r="C223" s="171">
        <f t="shared" si="25"/>
        <v>1224.5230173033665</v>
      </c>
      <c r="D223" s="171">
        <f t="shared" si="26"/>
        <v>861.86560757855204</v>
      </c>
      <c r="E223" s="169">
        <f t="shared" si="27"/>
        <v>0</v>
      </c>
      <c r="F223" s="169"/>
      <c r="G223" s="170">
        <f t="shared" si="28"/>
        <v>209056.36593014142</v>
      </c>
    </row>
    <row r="224" spans="1:9">
      <c r="A224" s="168">
        <v>210</v>
      </c>
      <c r="B224" s="171">
        <f t="shared" si="24"/>
        <v>2086.3886248819185</v>
      </c>
      <c r="C224" s="171">
        <f t="shared" si="25"/>
        <v>1219.4954679258249</v>
      </c>
      <c r="D224" s="171">
        <f t="shared" si="26"/>
        <v>866.89315695609366</v>
      </c>
      <c r="E224" s="169">
        <f t="shared" si="27"/>
        <v>0</v>
      </c>
      <c r="F224" s="169"/>
      <c r="G224" s="170">
        <f t="shared" si="28"/>
        <v>208189.47277318532</v>
      </c>
    </row>
    <row r="225" spans="1:9">
      <c r="A225" s="168">
        <v>211</v>
      </c>
      <c r="B225" s="171">
        <f t="shared" si="24"/>
        <v>2086.3886248819185</v>
      </c>
      <c r="C225" s="171">
        <f t="shared" si="25"/>
        <v>1214.4385911769143</v>
      </c>
      <c r="D225" s="171">
        <f t="shared" si="26"/>
        <v>871.95003370500422</v>
      </c>
      <c r="E225" s="169">
        <f t="shared" si="27"/>
        <v>0</v>
      </c>
      <c r="F225" s="169"/>
      <c r="G225" s="170">
        <f t="shared" si="28"/>
        <v>207317.52273948031</v>
      </c>
    </row>
    <row r="226" spans="1:9">
      <c r="A226" s="168">
        <v>212</v>
      </c>
      <c r="B226" s="171">
        <f t="shared" si="24"/>
        <v>2086.3886248819185</v>
      </c>
      <c r="C226" s="171">
        <f t="shared" si="25"/>
        <v>1209.3522159803019</v>
      </c>
      <c r="D226" s="171">
        <f t="shared" si="26"/>
        <v>877.0364089016166</v>
      </c>
      <c r="E226" s="169">
        <f t="shared" si="27"/>
        <v>0</v>
      </c>
      <c r="F226" s="169"/>
      <c r="G226" s="170">
        <f t="shared" si="28"/>
        <v>206440.48633057869</v>
      </c>
    </row>
    <row r="227" spans="1:9">
      <c r="A227" s="168">
        <v>213</v>
      </c>
      <c r="B227" s="171">
        <f t="shared" si="24"/>
        <v>2086.3886248819185</v>
      </c>
      <c r="C227" s="171">
        <f t="shared" si="25"/>
        <v>1204.236170261709</v>
      </c>
      <c r="D227" s="171">
        <f t="shared" si="26"/>
        <v>882.15245462020948</v>
      </c>
      <c r="E227" s="169">
        <f t="shared" si="27"/>
        <v>0</v>
      </c>
      <c r="F227" s="169"/>
      <c r="G227" s="170">
        <f t="shared" si="28"/>
        <v>205558.33387595849</v>
      </c>
    </row>
    <row r="228" spans="1:9">
      <c r="A228" s="168">
        <v>214</v>
      </c>
      <c r="B228" s="171">
        <f t="shared" si="24"/>
        <v>2086.3886248819185</v>
      </c>
      <c r="C228" s="171">
        <f t="shared" si="25"/>
        <v>1199.0902809430913</v>
      </c>
      <c r="D228" s="171">
        <f t="shared" si="26"/>
        <v>887.2983439388272</v>
      </c>
      <c r="E228" s="169">
        <f t="shared" si="27"/>
        <v>0</v>
      </c>
      <c r="F228" s="169"/>
      <c r="G228" s="170">
        <f t="shared" si="28"/>
        <v>204671.03553201965</v>
      </c>
    </row>
    <row r="229" spans="1:9">
      <c r="A229" s="168">
        <v>215</v>
      </c>
      <c r="B229" s="171">
        <f t="shared" si="24"/>
        <v>2086.3886248819185</v>
      </c>
      <c r="C229" s="171">
        <f t="shared" si="25"/>
        <v>1193.9143739367814</v>
      </c>
      <c r="D229" s="171">
        <f t="shared" si="26"/>
        <v>892.4742509451371</v>
      </c>
      <c r="E229" s="169">
        <f t="shared" si="27"/>
        <v>0</v>
      </c>
      <c r="F229" s="169"/>
      <c r="G229" s="170">
        <f t="shared" si="28"/>
        <v>203778.56128107451</v>
      </c>
    </row>
    <row r="230" spans="1:9">
      <c r="A230" s="168">
        <v>216</v>
      </c>
      <c r="B230" s="171">
        <f t="shared" si="24"/>
        <v>2086.3886248819185</v>
      </c>
      <c r="C230" s="171">
        <f t="shared" si="25"/>
        <v>1188.7082741396014</v>
      </c>
      <c r="D230" s="171">
        <f t="shared" si="26"/>
        <v>897.68035074231716</v>
      </c>
      <c r="E230" s="169">
        <f t="shared" si="27"/>
        <v>0</v>
      </c>
      <c r="F230" s="169"/>
      <c r="G230" s="170">
        <f t="shared" si="28"/>
        <v>202880.88093033221</v>
      </c>
      <c r="H230" s="182">
        <f>SUM(D219:D230)</f>
        <v>10435.118159082262</v>
      </c>
      <c r="I230">
        <f>A230/12</f>
        <v>18</v>
      </c>
    </row>
    <row r="231" spans="1:9">
      <c r="A231" s="168">
        <v>217</v>
      </c>
      <c r="B231" s="171">
        <f t="shared" si="24"/>
        <v>2086.3886248819185</v>
      </c>
      <c r="C231" s="171">
        <f t="shared" si="25"/>
        <v>1183.4718054269379</v>
      </c>
      <c r="D231" s="171">
        <f t="shared" si="26"/>
        <v>902.91681945498067</v>
      </c>
      <c r="E231" s="169">
        <f t="shared" si="27"/>
        <v>0</v>
      </c>
      <c r="F231" s="169"/>
      <c r="G231" s="170">
        <f t="shared" si="28"/>
        <v>201977.96411087722</v>
      </c>
    </row>
    <row r="232" spans="1:9">
      <c r="A232" s="168">
        <v>218</v>
      </c>
      <c r="B232" s="171">
        <f t="shared" si="24"/>
        <v>2086.3886248819185</v>
      </c>
      <c r="C232" s="171">
        <f t="shared" si="25"/>
        <v>1178.2047906467837</v>
      </c>
      <c r="D232" s="171">
        <f t="shared" si="26"/>
        <v>908.18383423513478</v>
      </c>
      <c r="E232" s="169">
        <f t="shared" si="27"/>
        <v>0</v>
      </c>
      <c r="F232" s="169"/>
      <c r="G232" s="170">
        <f t="shared" si="28"/>
        <v>201069.78027664209</v>
      </c>
    </row>
    <row r="233" spans="1:9">
      <c r="A233" s="168">
        <v>219</v>
      </c>
      <c r="B233" s="171">
        <f t="shared" si="24"/>
        <v>2086.3886248819185</v>
      </c>
      <c r="C233" s="171">
        <f t="shared" si="25"/>
        <v>1172.9070516137456</v>
      </c>
      <c r="D233" s="171">
        <f t="shared" si="26"/>
        <v>913.48157326817295</v>
      </c>
      <c r="E233" s="169">
        <f t="shared" si="27"/>
        <v>0</v>
      </c>
      <c r="F233" s="169"/>
      <c r="G233" s="170">
        <f t="shared" si="28"/>
        <v>200156.29870337393</v>
      </c>
    </row>
    <row r="234" spans="1:9">
      <c r="A234" s="168">
        <v>220</v>
      </c>
      <c r="B234" s="171">
        <f t="shared" si="24"/>
        <v>2086.3886248819185</v>
      </c>
      <c r="C234" s="171">
        <f t="shared" si="25"/>
        <v>1167.5784091030146</v>
      </c>
      <c r="D234" s="171">
        <f t="shared" si="26"/>
        <v>918.81021577890397</v>
      </c>
      <c r="E234" s="169">
        <f t="shared" si="27"/>
        <v>0</v>
      </c>
      <c r="F234" s="169"/>
      <c r="G234" s="170">
        <f t="shared" si="28"/>
        <v>199237.48848759502</v>
      </c>
    </row>
    <row r="235" spans="1:9">
      <c r="A235" s="168">
        <v>221</v>
      </c>
      <c r="B235" s="171">
        <f t="shared" si="24"/>
        <v>2086.3886248819185</v>
      </c>
      <c r="C235" s="171">
        <f t="shared" si="25"/>
        <v>1162.2186828443043</v>
      </c>
      <c r="D235" s="171">
        <f t="shared" si="26"/>
        <v>924.16994203761419</v>
      </c>
      <c r="E235" s="169">
        <f t="shared" si="27"/>
        <v>0</v>
      </c>
      <c r="F235" s="169"/>
      <c r="G235" s="170">
        <f t="shared" si="28"/>
        <v>198313.31854555741</v>
      </c>
    </row>
    <row r="236" spans="1:9">
      <c r="A236" s="168">
        <v>222</v>
      </c>
      <c r="B236" s="171">
        <f t="shared" si="24"/>
        <v>2086.3886248819185</v>
      </c>
      <c r="C236" s="171">
        <f t="shared" si="25"/>
        <v>1156.8276915157517</v>
      </c>
      <c r="D236" s="171">
        <f t="shared" si="26"/>
        <v>929.56093336616686</v>
      </c>
      <c r="E236" s="169">
        <f t="shared" si="27"/>
        <v>0</v>
      </c>
      <c r="F236" s="169"/>
      <c r="G236" s="170">
        <f t="shared" si="28"/>
        <v>197383.75761219126</v>
      </c>
    </row>
    <row r="237" spans="1:9">
      <c r="A237" s="168">
        <v>223</v>
      </c>
      <c r="B237" s="171">
        <f t="shared" si="24"/>
        <v>2086.3886248819185</v>
      </c>
      <c r="C237" s="171">
        <f t="shared" si="25"/>
        <v>1151.4052527377823</v>
      </c>
      <c r="D237" s="171">
        <f t="shared" si="26"/>
        <v>934.98337214413618</v>
      </c>
      <c r="E237" s="169">
        <f t="shared" si="27"/>
        <v>0</v>
      </c>
      <c r="F237" s="169"/>
      <c r="G237" s="170">
        <f t="shared" si="28"/>
        <v>196448.77424004712</v>
      </c>
    </row>
    <row r="238" spans="1:9">
      <c r="A238" s="168">
        <v>224</v>
      </c>
      <c r="B238" s="171">
        <f t="shared" si="24"/>
        <v>2086.3886248819185</v>
      </c>
      <c r="C238" s="171">
        <f t="shared" si="25"/>
        <v>1145.9511830669417</v>
      </c>
      <c r="D238" s="171">
        <f t="shared" si="26"/>
        <v>940.43744181497686</v>
      </c>
      <c r="E238" s="169">
        <f t="shared" si="27"/>
        <v>0</v>
      </c>
      <c r="F238" s="169"/>
      <c r="G238" s="170">
        <f t="shared" si="28"/>
        <v>195508.33679823214</v>
      </c>
    </row>
    <row r="239" spans="1:9">
      <c r="A239" s="168">
        <v>225</v>
      </c>
      <c r="B239" s="171">
        <f t="shared" si="24"/>
        <v>2086.3886248819185</v>
      </c>
      <c r="C239" s="171">
        <f t="shared" si="25"/>
        <v>1140.4652979896875</v>
      </c>
      <c r="D239" s="171">
        <f t="shared" si="26"/>
        <v>945.92332689223099</v>
      </c>
      <c r="E239" s="169">
        <f t="shared" si="27"/>
        <v>0</v>
      </c>
      <c r="F239" s="169"/>
      <c r="G239" s="170">
        <f t="shared" si="28"/>
        <v>194562.41347133991</v>
      </c>
    </row>
    <row r="240" spans="1:9">
      <c r="A240" s="168">
        <v>226</v>
      </c>
      <c r="B240" s="171">
        <f t="shared" si="24"/>
        <v>2086.3886248819185</v>
      </c>
      <c r="C240" s="171">
        <f t="shared" si="25"/>
        <v>1134.9474119161496</v>
      </c>
      <c r="D240" s="171">
        <f t="shared" si="26"/>
        <v>951.44121296576895</v>
      </c>
      <c r="E240" s="169">
        <f t="shared" si="27"/>
        <v>0</v>
      </c>
      <c r="F240" s="169"/>
      <c r="G240" s="170">
        <f t="shared" si="28"/>
        <v>193610.97225837415</v>
      </c>
    </row>
    <row r="241" spans="1:9">
      <c r="A241" s="168">
        <v>227</v>
      </c>
      <c r="B241" s="171">
        <f t="shared" si="24"/>
        <v>2086.3886248819185</v>
      </c>
      <c r="C241" s="171">
        <f t="shared" si="25"/>
        <v>1129.3973381738492</v>
      </c>
      <c r="D241" s="171">
        <f t="shared" si="26"/>
        <v>956.99128670806931</v>
      </c>
      <c r="E241" s="169">
        <f t="shared" si="27"/>
        <v>0</v>
      </c>
      <c r="F241" s="169"/>
      <c r="G241" s="170">
        <f t="shared" si="28"/>
        <v>192653.98097166608</v>
      </c>
    </row>
    <row r="242" spans="1:9">
      <c r="A242" s="168">
        <v>228</v>
      </c>
      <c r="B242" s="171">
        <f t="shared" si="24"/>
        <v>2086.3886248819185</v>
      </c>
      <c r="C242" s="171">
        <f t="shared" si="25"/>
        <v>1123.8148890013856</v>
      </c>
      <c r="D242" s="171">
        <f t="shared" si="26"/>
        <v>962.57373588053292</v>
      </c>
      <c r="E242" s="169">
        <f t="shared" si="27"/>
        <v>0</v>
      </c>
      <c r="F242" s="169"/>
      <c r="G242" s="170">
        <f t="shared" si="28"/>
        <v>191691.40723578556</v>
      </c>
      <c r="H242" s="182">
        <f>SUM(D231:D242)</f>
        <v>11189.473694546688</v>
      </c>
      <c r="I242">
        <f>A242/12</f>
        <v>19</v>
      </c>
    </row>
    <row r="243" spans="1:9">
      <c r="A243" s="168">
        <v>229</v>
      </c>
      <c r="B243" s="171">
        <f t="shared" si="24"/>
        <v>2086.3886248819185</v>
      </c>
      <c r="C243" s="171">
        <f t="shared" si="25"/>
        <v>1118.1998755420825</v>
      </c>
      <c r="D243" s="171">
        <f t="shared" si="26"/>
        <v>968.18874933983602</v>
      </c>
      <c r="E243" s="169">
        <f t="shared" si="27"/>
        <v>0</v>
      </c>
      <c r="F243" s="169"/>
      <c r="G243" s="170">
        <f t="shared" si="28"/>
        <v>190723.21848644572</v>
      </c>
    </row>
    <row r="244" spans="1:9">
      <c r="A244" s="168">
        <v>230</v>
      </c>
      <c r="B244" s="171">
        <f t="shared" si="24"/>
        <v>2086.3886248819185</v>
      </c>
      <c r="C244" s="171">
        <f t="shared" si="25"/>
        <v>1112.5521078376</v>
      </c>
      <c r="D244" s="171">
        <f t="shared" si="26"/>
        <v>973.8365170443185</v>
      </c>
      <c r="E244" s="169">
        <f t="shared" si="27"/>
        <v>0</v>
      </c>
      <c r="F244" s="169"/>
      <c r="G244" s="170">
        <f t="shared" si="28"/>
        <v>189749.38196940141</v>
      </c>
    </row>
    <row r="245" spans="1:9">
      <c r="A245" s="168">
        <v>231</v>
      </c>
      <c r="B245" s="171">
        <f t="shared" si="24"/>
        <v>2086.3886248819185</v>
      </c>
      <c r="C245" s="171">
        <f t="shared" si="25"/>
        <v>1106.8713948215084</v>
      </c>
      <c r="D245" s="171">
        <f t="shared" si="26"/>
        <v>979.51723006041016</v>
      </c>
      <c r="E245" s="169">
        <f t="shared" si="27"/>
        <v>0</v>
      </c>
      <c r="F245" s="169"/>
      <c r="G245" s="170">
        <f t="shared" si="28"/>
        <v>188769.86473934099</v>
      </c>
    </row>
    <row r="246" spans="1:9">
      <c r="A246" s="168">
        <v>232</v>
      </c>
      <c r="B246" s="171">
        <f t="shared" si="24"/>
        <v>2086.3886248819185</v>
      </c>
      <c r="C246" s="171">
        <f t="shared" si="25"/>
        <v>1101.1575443128224</v>
      </c>
      <c r="D246" s="171">
        <f t="shared" si="26"/>
        <v>985.23108056909609</v>
      </c>
      <c r="E246" s="169">
        <f t="shared" si="27"/>
        <v>0</v>
      </c>
      <c r="F246" s="169"/>
      <c r="G246" s="170">
        <f t="shared" si="28"/>
        <v>187784.6336587719</v>
      </c>
    </row>
    <row r="247" spans="1:9">
      <c r="A247" s="168">
        <v>233</v>
      </c>
      <c r="B247" s="171">
        <f t="shared" si="24"/>
        <v>2086.3886248819185</v>
      </c>
      <c r="C247" s="171">
        <f t="shared" si="25"/>
        <v>1095.4103630095028</v>
      </c>
      <c r="D247" s="171">
        <f t="shared" si="26"/>
        <v>990.97826187241571</v>
      </c>
      <c r="E247" s="169">
        <f t="shared" si="27"/>
        <v>0</v>
      </c>
      <c r="F247" s="169"/>
      <c r="G247" s="170">
        <f t="shared" si="28"/>
        <v>186793.65539689947</v>
      </c>
    </row>
    <row r="248" spans="1:9">
      <c r="A248" s="168">
        <v>234</v>
      </c>
      <c r="B248" s="171">
        <f t="shared" si="24"/>
        <v>2086.3886248819185</v>
      </c>
      <c r="C248" s="171">
        <f t="shared" si="25"/>
        <v>1089.6296564819136</v>
      </c>
      <c r="D248" s="171">
        <f t="shared" si="26"/>
        <v>996.75896840000496</v>
      </c>
      <c r="E248" s="169">
        <f t="shared" si="27"/>
        <v>0</v>
      </c>
      <c r="F248" s="169"/>
      <c r="G248" s="170">
        <f t="shared" si="28"/>
        <v>185796.89642849946</v>
      </c>
    </row>
    <row r="249" spans="1:9">
      <c r="A249" s="168">
        <v>235</v>
      </c>
      <c r="B249" s="171">
        <f t="shared" si="24"/>
        <v>2086.3886248819185</v>
      </c>
      <c r="C249" s="171">
        <f t="shared" si="25"/>
        <v>1083.8152291662468</v>
      </c>
      <c r="D249" s="171">
        <f t="shared" si="26"/>
        <v>1002.5733957156717</v>
      </c>
      <c r="E249" s="169">
        <f t="shared" si="27"/>
        <v>0</v>
      </c>
      <c r="F249" s="169"/>
      <c r="G249" s="170">
        <f t="shared" si="28"/>
        <v>184794.32303278378</v>
      </c>
    </row>
    <row r="250" spans="1:9">
      <c r="A250" s="168">
        <v>236</v>
      </c>
      <c r="B250" s="171">
        <f t="shared" si="24"/>
        <v>2086.3886248819185</v>
      </c>
      <c r="C250" s="171">
        <f t="shared" si="25"/>
        <v>1077.9668843579054</v>
      </c>
      <c r="D250" s="171">
        <f t="shared" si="26"/>
        <v>1008.4217405240131</v>
      </c>
      <c r="E250" s="169">
        <f t="shared" si="27"/>
        <v>0</v>
      </c>
      <c r="F250" s="169"/>
      <c r="G250" s="170">
        <f t="shared" si="28"/>
        <v>183785.90129225978</v>
      </c>
    </row>
    <row r="251" spans="1:9">
      <c r="A251" s="168">
        <v>237</v>
      </c>
      <c r="B251" s="171">
        <f t="shared" si="24"/>
        <v>2086.3886248819185</v>
      </c>
      <c r="C251" s="171">
        <f t="shared" si="25"/>
        <v>1072.0844242048488</v>
      </c>
      <c r="D251" s="171">
        <f t="shared" si="26"/>
        <v>1014.3042006770697</v>
      </c>
      <c r="E251" s="169">
        <f t="shared" si="27"/>
        <v>0</v>
      </c>
      <c r="F251" s="169"/>
      <c r="G251" s="170">
        <f t="shared" si="28"/>
        <v>182771.59709158272</v>
      </c>
    </row>
    <row r="252" spans="1:9">
      <c r="A252" s="168">
        <v>238</v>
      </c>
      <c r="B252" s="171">
        <f t="shared" si="24"/>
        <v>2086.3886248819185</v>
      </c>
      <c r="C252" s="171">
        <f t="shared" si="25"/>
        <v>1066.1676497008993</v>
      </c>
      <c r="D252" s="171">
        <f t="shared" si="26"/>
        <v>1020.2209751810192</v>
      </c>
      <c r="E252" s="169">
        <f t="shared" si="27"/>
        <v>0</v>
      </c>
      <c r="F252" s="169"/>
      <c r="G252" s="170">
        <f t="shared" si="28"/>
        <v>181751.37611640169</v>
      </c>
    </row>
    <row r="253" spans="1:9">
      <c r="A253" s="168">
        <v>239</v>
      </c>
      <c r="B253" s="171">
        <f t="shared" si="24"/>
        <v>2086.3886248819185</v>
      </c>
      <c r="C253" s="171">
        <f t="shared" si="25"/>
        <v>1060.21636067901</v>
      </c>
      <c r="D253" s="171">
        <f t="shared" si="26"/>
        <v>1026.1722642029085</v>
      </c>
      <c r="E253" s="169">
        <f t="shared" si="27"/>
        <v>0</v>
      </c>
      <c r="F253" s="169"/>
      <c r="G253" s="170">
        <f t="shared" si="28"/>
        <v>180725.20385219879</v>
      </c>
    </row>
    <row r="254" spans="1:9">
      <c r="A254" s="168">
        <v>240</v>
      </c>
      <c r="B254" s="171">
        <f t="shared" si="24"/>
        <v>2086.3886248819185</v>
      </c>
      <c r="C254" s="171">
        <f t="shared" si="25"/>
        <v>1054.230355804493</v>
      </c>
      <c r="D254" s="171">
        <f t="shared" si="26"/>
        <v>1032.1582690774255</v>
      </c>
      <c r="E254" s="169">
        <f t="shared" si="27"/>
        <v>0</v>
      </c>
      <c r="F254" s="169"/>
      <c r="G254" s="170">
        <f t="shared" si="28"/>
        <v>179693.04558312136</v>
      </c>
      <c r="H254" s="182">
        <f>SUM(D243:D254)</f>
        <v>11998.361652664189</v>
      </c>
      <c r="I254">
        <f>A254/12</f>
        <v>20</v>
      </c>
    </row>
    <row r="255" spans="1:9">
      <c r="A255" s="168">
        <v>241</v>
      </c>
      <c r="B255" s="171">
        <f t="shared" si="24"/>
        <v>2086.3886248819185</v>
      </c>
      <c r="C255" s="171">
        <f t="shared" si="25"/>
        <v>1048.2094325682081</v>
      </c>
      <c r="D255" s="171">
        <f t="shared" si="26"/>
        <v>1038.1791923137105</v>
      </c>
      <c r="E255" s="169">
        <f t="shared" si="27"/>
        <v>0</v>
      </c>
      <c r="F255" s="169"/>
      <c r="G255" s="170">
        <f t="shared" si="28"/>
        <v>178654.86639080764</v>
      </c>
    </row>
    <row r="256" spans="1:9">
      <c r="A256" s="168">
        <v>242</v>
      </c>
      <c r="B256" s="171">
        <f t="shared" si="24"/>
        <v>2086.3886248819185</v>
      </c>
      <c r="C256" s="171">
        <f t="shared" si="25"/>
        <v>1042.1533872797113</v>
      </c>
      <c r="D256" s="171">
        <f t="shared" si="26"/>
        <v>1044.2352376022072</v>
      </c>
      <c r="E256" s="169">
        <f t="shared" si="27"/>
        <v>0</v>
      </c>
      <c r="F256" s="169"/>
      <c r="G256" s="170">
        <f t="shared" si="28"/>
        <v>177610.63115320544</v>
      </c>
    </row>
    <row r="257" spans="1:9">
      <c r="A257" s="168">
        <v>243</v>
      </c>
      <c r="B257" s="171">
        <f t="shared" si="24"/>
        <v>2086.3886248819185</v>
      </c>
      <c r="C257" s="171">
        <f t="shared" si="25"/>
        <v>1036.0620150603652</v>
      </c>
      <c r="D257" s="171">
        <f t="shared" si="26"/>
        <v>1050.3266098215533</v>
      </c>
      <c r="E257" s="169">
        <f t="shared" si="27"/>
        <v>0</v>
      </c>
      <c r="F257" s="169"/>
      <c r="G257" s="170">
        <f t="shared" si="28"/>
        <v>176560.30454338389</v>
      </c>
    </row>
    <row r="258" spans="1:9">
      <c r="A258" s="168">
        <v>244</v>
      </c>
      <c r="B258" s="171">
        <f t="shared" si="24"/>
        <v>2086.3886248819185</v>
      </c>
      <c r="C258" s="171">
        <f t="shared" si="25"/>
        <v>1029.9351098364061</v>
      </c>
      <c r="D258" s="171">
        <f t="shared" si="26"/>
        <v>1056.4535150455124</v>
      </c>
      <c r="E258" s="169">
        <f t="shared" si="27"/>
        <v>0</v>
      </c>
      <c r="F258" s="169"/>
      <c r="G258" s="170">
        <f t="shared" si="28"/>
        <v>175503.85102833837</v>
      </c>
    </row>
    <row r="259" spans="1:9">
      <c r="A259" s="168">
        <v>245</v>
      </c>
      <c r="B259" s="171">
        <f t="shared" si="24"/>
        <v>2086.3886248819185</v>
      </c>
      <c r="C259" s="171">
        <f t="shared" si="25"/>
        <v>1023.7724643319739</v>
      </c>
      <c r="D259" s="171">
        <f t="shared" si="26"/>
        <v>1062.6161605499447</v>
      </c>
      <c r="E259" s="169">
        <f t="shared" si="27"/>
        <v>0</v>
      </c>
      <c r="F259" s="169"/>
      <c r="G259" s="170">
        <f t="shared" si="28"/>
        <v>174441.23486778841</v>
      </c>
    </row>
    <row r="260" spans="1:9">
      <c r="A260" s="168">
        <v>246</v>
      </c>
      <c r="B260" s="171">
        <f t="shared" si="24"/>
        <v>2086.3886248819185</v>
      </c>
      <c r="C260" s="171">
        <f t="shared" si="25"/>
        <v>1017.5738700620991</v>
      </c>
      <c r="D260" s="171">
        <f t="shared" si="26"/>
        <v>1068.8147548198194</v>
      </c>
      <c r="E260" s="169">
        <f t="shared" si="27"/>
        <v>0</v>
      </c>
      <c r="F260" s="169"/>
      <c r="G260" s="170">
        <f t="shared" si="28"/>
        <v>173372.4201129686</v>
      </c>
    </row>
    <row r="261" spans="1:9">
      <c r="A261" s="168">
        <v>247</v>
      </c>
      <c r="B261" s="171">
        <f t="shared" si="24"/>
        <v>2086.3886248819185</v>
      </c>
      <c r="C261" s="171">
        <f t="shared" si="25"/>
        <v>1011.3391173256502</v>
      </c>
      <c r="D261" s="171">
        <f t="shared" si="26"/>
        <v>1075.0495075562683</v>
      </c>
      <c r="E261" s="169">
        <f t="shared" si="27"/>
        <v>0</v>
      </c>
      <c r="F261" s="169"/>
      <c r="G261" s="170">
        <f t="shared" si="28"/>
        <v>172297.37060541232</v>
      </c>
    </row>
    <row r="262" spans="1:9">
      <c r="A262" s="168">
        <v>248</v>
      </c>
      <c r="B262" s="171">
        <f t="shared" si="24"/>
        <v>2086.3886248819185</v>
      </c>
      <c r="C262" s="171">
        <f t="shared" si="25"/>
        <v>1005.0679951982386</v>
      </c>
      <c r="D262" s="171">
        <f t="shared" si="26"/>
        <v>1081.32062968368</v>
      </c>
      <c r="E262" s="169">
        <f t="shared" si="27"/>
        <v>0</v>
      </c>
      <c r="F262" s="169"/>
      <c r="G262" s="170">
        <f t="shared" si="28"/>
        <v>171216.04997572865</v>
      </c>
    </row>
    <row r="263" spans="1:9">
      <c r="A263" s="168">
        <v>249</v>
      </c>
      <c r="B263" s="171">
        <f t="shared" si="24"/>
        <v>2086.3886248819185</v>
      </c>
      <c r="C263" s="171">
        <f t="shared" si="25"/>
        <v>998.76029152508386</v>
      </c>
      <c r="D263" s="171">
        <f t="shared" si="26"/>
        <v>1087.6283333568347</v>
      </c>
      <c r="E263" s="169">
        <f t="shared" si="27"/>
        <v>0</v>
      </c>
      <c r="F263" s="169"/>
      <c r="G263" s="170">
        <f t="shared" si="28"/>
        <v>170128.4216423718</v>
      </c>
    </row>
    <row r="264" spans="1:9">
      <c r="A264" s="168">
        <v>250</v>
      </c>
      <c r="B264" s="171">
        <f t="shared" si="24"/>
        <v>2086.3886248819185</v>
      </c>
      <c r="C264" s="171">
        <f t="shared" si="25"/>
        <v>992.41579291383562</v>
      </c>
      <c r="D264" s="171">
        <f t="shared" si="26"/>
        <v>1093.972831968083</v>
      </c>
      <c r="E264" s="169">
        <f t="shared" si="27"/>
        <v>0</v>
      </c>
      <c r="F264" s="169"/>
      <c r="G264" s="170">
        <f t="shared" si="28"/>
        <v>169034.44881040373</v>
      </c>
    </row>
    <row r="265" spans="1:9">
      <c r="A265" s="168">
        <v>251</v>
      </c>
      <c r="B265" s="171">
        <f t="shared" si="24"/>
        <v>2086.3886248819185</v>
      </c>
      <c r="C265" s="171">
        <f t="shared" si="25"/>
        <v>986.03428472735516</v>
      </c>
      <c r="D265" s="171">
        <f t="shared" si="26"/>
        <v>1100.3543401545635</v>
      </c>
      <c r="E265" s="169">
        <f t="shared" si="27"/>
        <v>0</v>
      </c>
      <c r="F265" s="169"/>
      <c r="G265" s="170">
        <f t="shared" si="28"/>
        <v>167934.09447024917</v>
      </c>
    </row>
    <row r="266" spans="1:9">
      <c r="A266" s="168">
        <v>252</v>
      </c>
      <c r="B266" s="171">
        <f t="shared" si="24"/>
        <v>2086.3886248819185</v>
      </c>
      <c r="C266" s="171">
        <f t="shared" si="25"/>
        <v>979.61555107645358</v>
      </c>
      <c r="D266" s="171">
        <f t="shared" si="26"/>
        <v>1106.7730738054649</v>
      </c>
      <c r="E266" s="169">
        <f t="shared" si="27"/>
        <v>0</v>
      </c>
      <c r="F266" s="169"/>
      <c r="G266" s="170">
        <f t="shared" si="28"/>
        <v>166827.3213964437</v>
      </c>
      <c r="H266" s="182">
        <f>SUM(D255:D266)</f>
        <v>12865.724186677644</v>
      </c>
      <c r="I266">
        <f>A266/12</f>
        <v>21</v>
      </c>
    </row>
    <row r="267" spans="1:9">
      <c r="A267" s="168">
        <v>253</v>
      </c>
      <c r="B267" s="171">
        <f t="shared" si="24"/>
        <v>2086.3886248819185</v>
      </c>
      <c r="C267" s="171">
        <f t="shared" si="25"/>
        <v>973.15937481258834</v>
      </c>
      <c r="D267" s="171">
        <f t="shared" si="26"/>
        <v>1113.2292500693302</v>
      </c>
      <c r="E267" s="169">
        <f t="shared" si="27"/>
        <v>0</v>
      </c>
      <c r="F267" s="169"/>
      <c r="G267" s="170">
        <f t="shared" si="28"/>
        <v>165714.09214637437</v>
      </c>
    </row>
    <row r="268" spans="1:9">
      <c r="A268" s="168">
        <v>254</v>
      </c>
      <c r="B268" s="171">
        <f t="shared" si="24"/>
        <v>2086.3886248819185</v>
      </c>
      <c r="C268" s="171">
        <f t="shared" si="25"/>
        <v>966.6655375205172</v>
      </c>
      <c r="D268" s="171">
        <f t="shared" si="26"/>
        <v>1119.7230873614012</v>
      </c>
      <c r="E268" s="169">
        <f t="shared" si="27"/>
        <v>0</v>
      </c>
      <c r="F268" s="169"/>
      <c r="G268" s="170">
        <f t="shared" si="28"/>
        <v>164594.36905901297</v>
      </c>
    </row>
    <row r="269" spans="1:9">
      <c r="A269" s="168">
        <v>255</v>
      </c>
      <c r="B269" s="171">
        <f t="shared" si="24"/>
        <v>2086.3886248819185</v>
      </c>
      <c r="C269" s="171">
        <f t="shared" si="25"/>
        <v>960.13381951090901</v>
      </c>
      <c r="D269" s="171">
        <f t="shared" si="26"/>
        <v>1126.2548053710095</v>
      </c>
      <c r="E269" s="169">
        <f t="shared" si="27"/>
        <v>0</v>
      </c>
      <c r="F269" s="169"/>
      <c r="G269" s="170">
        <f t="shared" si="28"/>
        <v>163468.11425364195</v>
      </c>
    </row>
    <row r="270" spans="1:9">
      <c r="A270" s="168">
        <v>256</v>
      </c>
      <c r="B270" s="171">
        <f t="shared" si="24"/>
        <v>2086.3886248819185</v>
      </c>
      <c r="C270" s="171">
        <f t="shared" si="25"/>
        <v>953.56399981291145</v>
      </c>
      <c r="D270" s="171">
        <f t="shared" si="26"/>
        <v>1132.8246250690072</v>
      </c>
      <c r="E270" s="169">
        <f t="shared" si="27"/>
        <v>0</v>
      </c>
      <c r="F270" s="169"/>
      <c r="G270" s="170">
        <f t="shared" si="28"/>
        <v>162335.28962857294</v>
      </c>
    </row>
    <row r="271" spans="1:9">
      <c r="A271" s="168">
        <v>257</v>
      </c>
      <c r="B271" s="171">
        <f t="shared" si="24"/>
        <v>2086.3886248819185</v>
      </c>
      <c r="C271" s="171">
        <f t="shared" si="25"/>
        <v>946.95585616667552</v>
      </c>
      <c r="D271" s="171">
        <f t="shared" si="26"/>
        <v>1139.4327687152431</v>
      </c>
      <c r="E271" s="169">
        <f t="shared" si="27"/>
        <v>0</v>
      </c>
      <c r="F271" s="169"/>
      <c r="G271" s="170">
        <f t="shared" si="28"/>
        <v>161195.85685985768</v>
      </c>
    </row>
    <row r="272" spans="1:9">
      <c r="A272" s="168">
        <v>258</v>
      </c>
      <c r="B272" s="171">
        <f t="shared" ref="B272:B335" si="29">IF($B$6&lt;=G271,$B$6,G271+G271*$B$4/$B$5)</f>
        <v>2086.3886248819185</v>
      </c>
      <c r="C272" s="171">
        <f t="shared" ref="C272:C335" si="30">IF(B272&gt;0,$B$4/$B$5*G271,0)</f>
        <v>940.30916501583647</v>
      </c>
      <c r="D272" s="171">
        <f t="shared" ref="D272:D335" si="31">IF(B272&gt;0,MIN(B272-C272,G271),0)</f>
        <v>1146.0794598660821</v>
      </c>
      <c r="E272" s="169">
        <f t="shared" ref="E272:E335" si="32">IF(G271-D272&gt;=$B$7,$B$7,G271-D272)</f>
        <v>0</v>
      </c>
      <c r="F272" s="169"/>
      <c r="G272" s="170">
        <f t="shared" ref="G272:G335" si="33">IF(ROUND(G271,5)&gt;0,G271-D272-E272,0)</f>
        <v>160049.77739999161</v>
      </c>
    </row>
    <row r="273" spans="1:9">
      <c r="A273" s="168">
        <v>259</v>
      </c>
      <c r="B273" s="171">
        <f t="shared" si="29"/>
        <v>2086.3886248819185</v>
      </c>
      <c r="C273" s="171">
        <f t="shared" si="30"/>
        <v>933.62370149995115</v>
      </c>
      <c r="D273" s="171">
        <f t="shared" si="31"/>
        <v>1152.7649233819675</v>
      </c>
      <c r="E273" s="169">
        <f t="shared" si="32"/>
        <v>0</v>
      </c>
      <c r="F273" s="169"/>
      <c r="G273" s="170">
        <f t="shared" si="33"/>
        <v>158897.01247660964</v>
      </c>
    </row>
    <row r="274" spans="1:9">
      <c r="A274" s="168">
        <v>260</v>
      </c>
      <c r="B274" s="171">
        <f t="shared" si="29"/>
        <v>2086.3886248819185</v>
      </c>
      <c r="C274" s="171">
        <f t="shared" si="30"/>
        <v>926.89923944688962</v>
      </c>
      <c r="D274" s="171">
        <f t="shared" si="31"/>
        <v>1159.4893854350289</v>
      </c>
      <c r="E274" s="169">
        <f t="shared" si="32"/>
        <v>0</v>
      </c>
      <c r="F274" s="169"/>
      <c r="G274" s="170">
        <f t="shared" si="33"/>
        <v>157737.5230911746</v>
      </c>
    </row>
    <row r="275" spans="1:9">
      <c r="A275" s="168">
        <v>261</v>
      </c>
      <c r="B275" s="171">
        <f t="shared" si="29"/>
        <v>2086.3886248819185</v>
      </c>
      <c r="C275" s="171">
        <f t="shared" si="30"/>
        <v>920.13555136518528</v>
      </c>
      <c r="D275" s="171">
        <f t="shared" si="31"/>
        <v>1166.2530735167334</v>
      </c>
      <c r="E275" s="169">
        <f t="shared" si="32"/>
        <v>0</v>
      </c>
      <c r="F275" s="169"/>
      <c r="G275" s="170">
        <f t="shared" si="33"/>
        <v>156571.27001765787</v>
      </c>
    </row>
    <row r="276" spans="1:9">
      <c r="A276" s="168">
        <v>262</v>
      </c>
      <c r="B276" s="171">
        <f t="shared" si="29"/>
        <v>2086.3886248819185</v>
      </c>
      <c r="C276" s="171">
        <f t="shared" si="30"/>
        <v>913.33240843633757</v>
      </c>
      <c r="D276" s="171">
        <f t="shared" si="31"/>
        <v>1173.056216445581</v>
      </c>
      <c r="E276" s="169">
        <f t="shared" si="32"/>
        <v>0</v>
      </c>
      <c r="F276" s="169"/>
      <c r="G276" s="170">
        <f t="shared" si="33"/>
        <v>155398.21380121229</v>
      </c>
    </row>
    <row r="277" spans="1:9">
      <c r="A277" s="168">
        <v>263</v>
      </c>
      <c r="B277" s="171">
        <f t="shared" si="29"/>
        <v>2086.3886248819185</v>
      </c>
      <c r="C277" s="171">
        <f t="shared" si="30"/>
        <v>906.48958050707176</v>
      </c>
      <c r="D277" s="171">
        <f t="shared" si="31"/>
        <v>1179.8990443748467</v>
      </c>
      <c r="E277" s="169">
        <f t="shared" si="32"/>
        <v>0</v>
      </c>
      <c r="F277" s="169"/>
      <c r="G277" s="170">
        <f t="shared" si="33"/>
        <v>154218.31475683744</v>
      </c>
    </row>
    <row r="278" spans="1:9">
      <c r="A278" s="168">
        <v>264</v>
      </c>
      <c r="B278" s="171">
        <f t="shared" si="29"/>
        <v>2086.3886248819185</v>
      </c>
      <c r="C278" s="171">
        <f t="shared" si="30"/>
        <v>899.60683608155182</v>
      </c>
      <c r="D278" s="171">
        <f t="shared" si="31"/>
        <v>1186.7817888003667</v>
      </c>
      <c r="E278" s="169">
        <f t="shared" si="32"/>
        <v>0</v>
      </c>
      <c r="F278" s="169"/>
      <c r="G278" s="170">
        <f t="shared" si="33"/>
        <v>153031.53296803706</v>
      </c>
      <c r="H278" s="182">
        <f>SUM(D267:D278)</f>
        <v>13795.788428406595</v>
      </c>
      <c r="I278">
        <f>A278/12</f>
        <v>22</v>
      </c>
    </row>
    <row r="279" spans="1:9">
      <c r="A279" s="168">
        <v>265</v>
      </c>
      <c r="B279" s="171">
        <f t="shared" si="29"/>
        <v>2086.3886248819185</v>
      </c>
      <c r="C279" s="171">
        <f t="shared" si="30"/>
        <v>892.68394231354955</v>
      </c>
      <c r="D279" s="171">
        <f t="shared" si="31"/>
        <v>1193.704682568369</v>
      </c>
      <c r="E279" s="169">
        <f t="shared" si="32"/>
        <v>0</v>
      </c>
      <c r="F279" s="169"/>
      <c r="G279" s="170">
        <f t="shared" si="33"/>
        <v>151837.82828546868</v>
      </c>
    </row>
    <row r="280" spans="1:9">
      <c r="A280" s="168">
        <v>266</v>
      </c>
      <c r="B280" s="171">
        <f t="shared" si="29"/>
        <v>2086.3886248819185</v>
      </c>
      <c r="C280" s="171">
        <f t="shared" si="30"/>
        <v>885.72066499856737</v>
      </c>
      <c r="D280" s="171">
        <f t="shared" si="31"/>
        <v>1200.6679598833512</v>
      </c>
      <c r="E280" s="169">
        <f t="shared" si="32"/>
        <v>0</v>
      </c>
      <c r="F280" s="169"/>
      <c r="G280" s="170">
        <f t="shared" si="33"/>
        <v>150637.16032558534</v>
      </c>
    </row>
    <row r="281" spans="1:9">
      <c r="A281" s="168">
        <v>267</v>
      </c>
      <c r="B281" s="171">
        <f t="shared" si="29"/>
        <v>2086.3886248819185</v>
      </c>
      <c r="C281" s="171">
        <f t="shared" si="30"/>
        <v>878.71676856591455</v>
      </c>
      <c r="D281" s="171">
        <f t="shared" si="31"/>
        <v>1207.6718563160039</v>
      </c>
      <c r="E281" s="169">
        <f t="shared" si="32"/>
        <v>0</v>
      </c>
      <c r="F281" s="169"/>
      <c r="G281" s="170">
        <f t="shared" si="33"/>
        <v>149429.48846926933</v>
      </c>
    </row>
    <row r="282" spans="1:9">
      <c r="A282" s="168">
        <v>268</v>
      </c>
      <c r="B282" s="171">
        <f t="shared" si="29"/>
        <v>2086.3886248819185</v>
      </c>
      <c r="C282" s="171">
        <f t="shared" si="30"/>
        <v>871.67201607073775</v>
      </c>
      <c r="D282" s="171">
        <f t="shared" si="31"/>
        <v>1214.7166088111808</v>
      </c>
      <c r="E282" s="169">
        <f t="shared" si="32"/>
        <v>0</v>
      </c>
      <c r="F282" s="169"/>
      <c r="G282" s="170">
        <f t="shared" si="33"/>
        <v>148214.77186045816</v>
      </c>
    </row>
    <row r="283" spans="1:9">
      <c r="A283" s="168">
        <v>269</v>
      </c>
      <c r="B283" s="171">
        <f t="shared" si="29"/>
        <v>2086.3886248819185</v>
      </c>
      <c r="C283" s="171">
        <f t="shared" si="30"/>
        <v>864.58616918600603</v>
      </c>
      <c r="D283" s="171">
        <f t="shared" si="31"/>
        <v>1221.8024556959126</v>
      </c>
      <c r="E283" s="169">
        <f t="shared" si="32"/>
        <v>0</v>
      </c>
      <c r="F283" s="169"/>
      <c r="G283" s="170">
        <f t="shared" si="33"/>
        <v>146992.96940476226</v>
      </c>
    </row>
    <row r="284" spans="1:9">
      <c r="A284" s="168">
        <v>270</v>
      </c>
      <c r="B284" s="171">
        <f t="shared" si="29"/>
        <v>2086.3886248819185</v>
      </c>
      <c r="C284" s="171">
        <f t="shared" si="30"/>
        <v>857.45898819444653</v>
      </c>
      <c r="D284" s="171">
        <f t="shared" si="31"/>
        <v>1228.9296366874719</v>
      </c>
      <c r="E284" s="169">
        <f t="shared" si="32"/>
        <v>0</v>
      </c>
      <c r="F284" s="169"/>
      <c r="G284" s="170">
        <f t="shared" si="33"/>
        <v>145764.03976807478</v>
      </c>
    </row>
    <row r="285" spans="1:9">
      <c r="A285" s="168">
        <v>271</v>
      </c>
      <c r="B285" s="171">
        <f t="shared" si="29"/>
        <v>2086.3886248819185</v>
      </c>
      <c r="C285" s="171">
        <f t="shared" si="30"/>
        <v>850.29023198043626</v>
      </c>
      <c r="D285" s="171">
        <f t="shared" si="31"/>
        <v>1236.0983929014824</v>
      </c>
      <c r="E285" s="169">
        <f t="shared" si="32"/>
        <v>0</v>
      </c>
      <c r="F285" s="169"/>
      <c r="G285" s="170">
        <f t="shared" si="33"/>
        <v>144527.94137517331</v>
      </c>
    </row>
    <row r="286" spans="1:9">
      <c r="A286" s="168">
        <v>272</v>
      </c>
      <c r="B286" s="171">
        <f t="shared" si="29"/>
        <v>2086.3886248819185</v>
      </c>
      <c r="C286" s="171">
        <f t="shared" si="30"/>
        <v>843.07965802184435</v>
      </c>
      <c r="D286" s="171">
        <f t="shared" si="31"/>
        <v>1243.3089668600742</v>
      </c>
      <c r="E286" s="169">
        <f t="shared" si="32"/>
        <v>0</v>
      </c>
      <c r="F286" s="169"/>
      <c r="G286" s="170">
        <f t="shared" si="33"/>
        <v>143284.63240831322</v>
      </c>
    </row>
    <row r="287" spans="1:9">
      <c r="A287" s="168">
        <v>273</v>
      </c>
      <c r="B287" s="171">
        <f t="shared" si="29"/>
        <v>2086.3886248819185</v>
      </c>
      <c r="C287" s="171">
        <f t="shared" si="30"/>
        <v>835.82702238182719</v>
      </c>
      <c r="D287" s="171">
        <f t="shared" si="31"/>
        <v>1250.5616025000913</v>
      </c>
      <c r="E287" s="169">
        <f t="shared" si="32"/>
        <v>0</v>
      </c>
      <c r="F287" s="169"/>
      <c r="G287" s="170">
        <f t="shared" si="33"/>
        <v>142034.07080581313</v>
      </c>
    </row>
    <row r="288" spans="1:9">
      <c r="A288" s="168">
        <v>274</v>
      </c>
      <c r="B288" s="171">
        <f t="shared" si="29"/>
        <v>2086.3886248819185</v>
      </c>
      <c r="C288" s="171">
        <f t="shared" si="30"/>
        <v>828.53207970057656</v>
      </c>
      <c r="D288" s="171">
        <f t="shared" si="31"/>
        <v>1257.856545181342</v>
      </c>
      <c r="E288" s="169">
        <f t="shared" si="32"/>
        <v>0</v>
      </c>
      <c r="F288" s="169"/>
      <c r="G288" s="170">
        <f t="shared" si="33"/>
        <v>140776.21426063179</v>
      </c>
    </row>
    <row r="289" spans="1:9">
      <c r="A289" s="168">
        <v>275</v>
      </c>
      <c r="B289" s="171">
        <f t="shared" si="29"/>
        <v>2086.3886248819185</v>
      </c>
      <c r="C289" s="171">
        <f t="shared" si="30"/>
        <v>821.19458318701879</v>
      </c>
      <c r="D289" s="171">
        <f t="shared" si="31"/>
        <v>1265.1940416948996</v>
      </c>
      <c r="E289" s="169">
        <f t="shared" si="32"/>
        <v>0</v>
      </c>
      <c r="F289" s="169"/>
      <c r="G289" s="170">
        <f t="shared" si="33"/>
        <v>139511.0202189369</v>
      </c>
    </row>
    <row r="290" spans="1:9">
      <c r="A290" s="168">
        <v>276</v>
      </c>
      <c r="B290" s="171">
        <f t="shared" si="29"/>
        <v>2086.3886248819185</v>
      </c>
      <c r="C290" s="171">
        <f t="shared" si="30"/>
        <v>813.81428461046528</v>
      </c>
      <c r="D290" s="171">
        <f t="shared" si="31"/>
        <v>1272.5743402714534</v>
      </c>
      <c r="E290" s="169">
        <f t="shared" si="32"/>
        <v>0</v>
      </c>
      <c r="F290" s="169"/>
      <c r="G290" s="170">
        <f t="shared" si="33"/>
        <v>138238.44587866546</v>
      </c>
      <c r="H290" s="182">
        <f>SUM(D279:D290)</f>
        <v>14793.087089371635</v>
      </c>
      <c r="I290">
        <f>A290/12</f>
        <v>23</v>
      </c>
    </row>
    <row r="291" spans="1:9">
      <c r="A291" s="168">
        <v>277</v>
      </c>
      <c r="B291" s="171">
        <f t="shared" si="29"/>
        <v>2086.3886248819185</v>
      </c>
      <c r="C291" s="171">
        <f t="shared" si="30"/>
        <v>806.39093429221521</v>
      </c>
      <c r="D291" s="171">
        <f t="shared" si="31"/>
        <v>1279.9976905897033</v>
      </c>
      <c r="E291" s="169">
        <f t="shared" si="32"/>
        <v>0</v>
      </c>
      <c r="F291" s="169"/>
      <c r="G291" s="170">
        <f t="shared" si="33"/>
        <v>136958.44818807577</v>
      </c>
    </row>
    <row r="292" spans="1:9">
      <c r="A292" s="168">
        <v>278</v>
      </c>
      <c r="B292" s="171">
        <f t="shared" si="29"/>
        <v>2086.3886248819185</v>
      </c>
      <c r="C292" s="171">
        <f t="shared" si="30"/>
        <v>798.92428109710863</v>
      </c>
      <c r="D292" s="171">
        <f t="shared" si="31"/>
        <v>1287.4643437848099</v>
      </c>
      <c r="E292" s="169">
        <f t="shared" si="32"/>
        <v>0</v>
      </c>
      <c r="F292" s="169"/>
      <c r="G292" s="170">
        <f t="shared" si="33"/>
        <v>135670.98384429095</v>
      </c>
    </row>
    <row r="293" spans="1:9">
      <c r="A293" s="168">
        <v>279</v>
      </c>
      <c r="B293" s="171">
        <f t="shared" si="29"/>
        <v>2086.3886248819185</v>
      </c>
      <c r="C293" s="171">
        <f t="shared" si="30"/>
        <v>791.41407242503055</v>
      </c>
      <c r="D293" s="171">
        <f t="shared" si="31"/>
        <v>1294.974552456888</v>
      </c>
      <c r="E293" s="169">
        <f t="shared" si="32"/>
        <v>0</v>
      </c>
      <c r="F293" s="169"/>
      <c r="G293" s="170">
        <f t="shared" si="33"/>
        <v>134376.00929183405</v>
      </c>
    </row>
    <row r="294" spans="1:9">
      <c r="A294" s="168">
        <v>280</v>
      </c>
      <c r="B294" s="171">
        <f t="shared" si="29"/>
        <v>2086.3886248819185</v>
      </c>
      <c r="C294" s="171">
        <f t="shared" si="30"/>
        <v>783.86005420236529</v>
      </c>
      <c r="D294" s="171">
        <f t="shared" si="31"/>
        <v>1302.5285706795532</v>
      </c>
      <c r="E294" s="169">
        <f t="shared" si="32"/>
        <v>0</v>
      </c>
      <c r="F294" s="169"/>
      <c r="G294" s="170">
        <f t="shared" si="33"/>
        <v>133073.48072115451</v>
      </c>
    </row>
    <row r="295" spans="1:9">
      <c r="A295" s="168">
        <v>281</v>
      </c>
      <c r="B295" s="171">
        <f t="shared" si="29"/>
        <v>2086.3886248819185</v>
      </c>
      <c r="C295" s="171">
        <f t="shared" si="30"/>
        <v>776.26197087340131</v>
      </c>
      <c r="D295" s="171">
        <f t="shared" si="31"/>
        <v>1310.1266540085171</v>
      </c>
      <c r="E295" s="169">
        <f t="shared" si="32"/>
        <v>0</v>
      </c>
      <c r="F295" s="169"/>
      <c r="G295" s="170">
        <f t="shared" si="33"/>
        <v>131763.35406714599</v>
      </c>
    </row>
    <row r="296" spans="1:9">
      <c r="A296" s="168">
        <v>282</v>
      </c>
      <c r="B296" s="171">
        <f t="shared" si="29"/>
        <v>2086.3886248819185</v>
      </c>
      <c r="C296" s="171">
        <f t="shared" si="30"/>
        <v>768.619565391685</v>
      </c>
      <c r="D296" s="171">
        <f t="shared" si="31"/>
        <v>1317.7690594902335</v>
      </c>
      <c r="E296" s="169">
        <f t="shared" si="32"/>
        <v>0</v>
      </c>
      <c r="F296" s="169"/>
      <c r="G296" s="170">
        <f t="shared" si="33"/>
        <v>130445.58500765575</v>
      </c>
    </row>
    <row r="297" spans="1:9">
      <c r="A297" s="168">
        <v>283</v>
      </c>
      <c r="B297" s="171">
        <f t="shared" si="29"/>
        <v>2086.3886248819185</v>
      </c>
      <c r="C297" s="171">
        <f t="shared" si="30"/>
        <v>760.93257921132522</v>
      </c>
      <c r="D297" s="171">
        <f t="shared" si="31"/>
        <v>1325.4560456705933</v>
      </c>
      <c r="E297" s="169">
        <f t="shared" si="32"/>
        <v>0</v>
      </c>
      <c r="F297" s="169"/>
      <c r="G297" s="170">
        <f t="shared" si="33"/>
        <v>129120.12896198516</v>
      </c>
    </row>
    <row r="298" spans="1:9">
      <c r="A298" s="168">
        <v>284</v>
      </c>
      <c r="B298" s="171">
        <f t="shared" si="29"/>
        <v>2086.3886248819185</v>
      </c>
      <c r="C298" s="171">
        <f t="shared" si="30"/>
        <v>753.2007522782468</v>
      </c>
      <c r="D298" s="171">
        <f t="shared" si="31"/>
        <v>1333.1878726036716</v>
      </c>
      <c r="E298" s="169">
        <f t="shared" si="32"/>
        <v>0</v>
      </c>
      <c r="F298" s="169"/>
      <c r="G298" s="170">
        <f t="shared" si="33"/>
        <v>127786.94108938149</v>
      </c>
    </row>
    <row r="299" spans="1:9">
      <c r="A299" s="168">
        <v>285</v>
      </c>
      <c r="B299" s="171">
        <f t="shared" si="29"/>
        <v>2086.3886248819185</v>
      </c>
      <c r="C299" s="171">
        <f t="shared" si="30"/>
        <v>745.42382302139208</v>
      </c>
      <c r="D299" s="171">
        <f t="shared" si="31"/>
        <v>1340.9648018605264</v>
      </c>
      <c r="E299" s="169">
        <f t="shared" si="32"/>
        <v>0</v>
      </c>
      <c r="F299" s="169"/>
      <c r="G299" s="170">
        <f t="shared" si="33"/>
        <v>126445.97628752097</v>
      </c>
    </row>
    <row r="300" spans="1:9">
      <c r="A300" s="168">
        <v>286</v>
      </c>
      <c r="B300" s="171">
        <f t="shared" si="29"/>
        <v>2086.3886248819185</v>
      </c>
      <c r="C300" s="171">
        <f t="shared" si="30"/>
        <v>737.60152834387236</v>
      </c>
      <c r="D300" s="171">
        <f t="shared" si="31"/>
        <v>1348.7870965380462</v>
      </c>
      <c r="E300" s="169">
        <f t="shared" si="32"/>
        <v>0</v>
      </c>
      <c r="F300" s="169"/>
      <c r="G300" s="170">
        <f t="shared" si="33"/>
        <v>125097.18919098293</v>
      </c>
    </row>
    <row r="301" spans="1:9">
      <c r="A301" s="168">
        <v>287</v>
      </c>
      <c r="B301" s="171">
        <f t="shared" si="29"/>
        <v>2086.3886248819185</v>
      </c>
      <c r="C301" s="171">
        <f t="shared" si="30"/>
        <v>729.73360361406708</v>
      </c>
      <c r="D301" s="171">
        <f t="shared" si="31"/>
        <v>1356.6550212678515</v>
      </c>
      <c r="E301" s="169">
        <f t="shared" si="32"/>
        <v>0</v>
      </c>
      <c r="F301" s="169"/>
      <c r="G301" s="170">
        <f t="shared" si="33"/>
        <v>123740.53416971507</v>
      </c>
    </row>
    <row r="302" spans="1:9">
      <c r="A302" s="168">
        <v>288</v>
      </c>
      <c r="B302" s="171">
        <f t="shared" si="29"/>
        <v>2086.3886248819185</v>
      </c>
      <c r="C302" s="171">
        <f t="shared" si="30"/>
        <v>721.81978265667124</v>
      </c>
      <c r="D302" s="171">
        <f t="shared" si="31"/>
        <v>1364.5688422252474</v>
      </c>
      <c r="E302" s="169">
        <f t="shared" si="32"/>
        <v>0</v>
      </c>
      <c r="F302" s="169"/>
      <c r="G302" s="170">
        <f t="shared" si="33"/>
        <v>122375.96532748983</v>
      </c>
      <c r="H302" s="182">
        <f>SUM(D291:D302)</f>
        <v>15862.480551175642</v>
      </c>
      <c r="I302">
        <f>A302/12</f>
        <v>24</v>
      </c>
    </row>
    <row r="303" spans="1:9">
      <c r="A303" s="168">
        <v>289</v>
      </c>
      <c r="B303" s="171">
        <f t="shared" si="29"/>
        <v>2086.3886248819185</v>
      </c>
      <c r="C303" s="171">
        <f t="shared" si="30"/>
        <v>713.85979774369071</v>
      </c>
      <c r="D303" s="171">
        <f t="shared" si="31"/>
        <v>1372.5288271382278</v>
      </c>
      <c r="E303" s="169">
        <f t="shared" si="32"/>
        <v>0</v>
      </c>
      <c r="F303" s="169"/>
      <c r="G303" s="170">
        <f t="shared" si="33"/>
        <v>121003.4365003516</v>
      </c>
    </row>
    <row r="304" spans="1:9">
      <c r="A304" s="168">
        <v>290</v>
      </c>
      <c r="B304" s="171">
        <f t="shared" si="29"/>
        <v>2086.3886248819185</v>
      </c>
      <c r="C304" s="171">
        <f t="shared" si="30"/>
        <v>705.85337958538435</v>
      </c>
      <c r="D304" s="171">
        <f t="shared" si="31"/>
        <v>1380.5352452965342</v>
      </c>
      <c r="E304" s="169">
        <f t="shared" si="32"/>
        <v>0</v>
      </c>
      <c r="F304" s="169"/>
      <c r="G304" s="170">
        <f t="shared" si="33"/>
        <v>119622.90125505507</v>
      </c>
    </row>
    <row r="305" spans="1:9">
      <c r="A305" s="168">
        <v>291</v>
      </c>
      <c r="B305" s="171">
        <f t="shared" si="29"/>
        <v>2086.3886248819185</v>
      </c>
      <c r="C305" s="171">
        <f t="shared" si="30"/>
        <v>697.80025732115462</v>
      </c>
      <c r="D305" s="171">
        <f t="shared" si="31"/>
        <v>1388.5883675607638</v>
      </c>
      <c r="E305" s="169">
        <f t="shared" si="32"/>
        <v>0</v>
      </c>
      <c r="F305" s="169"/>
      <c r="G305" s="170">
        <f t="shared" si="33"/>
        <v>118234.31288749431</v>
      </c>
    </row>
    <row r="306" spans="1:9">
      <c r="A306" s="168">
        <v>292</v>
      </c>
      <c r="B306" s="171">
        <f t="shared" si="29"/>
        <v>2086.3886248819185</v>
      </c>
      <c r="C306" s="171">
        <f t="shared" si="30"/>
        <v>689.70015851038352</v>
      </c>
      <c r="D306" s="171">
        <f t="shared" si="31"/>
        <v>1396.688466371535</v>
      </c>
      <c r="E306" s="169">
        <f t="shared" si="32"/>
        <v>0</v>
      </c>
      <c r="F306" s="169"/>
      <c r="G306" s="170">
        <f t="shared" si="33"/>
        <v>116837.62442112277</v>
      </c>
    </row>
    <row r="307" spans="1:9">
      <c r="A307" s="168">
        <v>293</v>
      </c>
      <c r="B307" s="171">
        <f t="shared" si="29"/>
        <v>2086.3886248819185</v>
      </c>
      <c r="C307" s="171">
        <f t="shared" si="30"/>
        <v>681.55280912321621</v>
      </c>
      <c r="D307" s="171">
        <f t="shared" si="31"/>
        <v>1404.8358157587022</v>
      </c>
      <c r="E307" s="169">
        <f t="shared" si="32"/>
        <v>0</v>
      </c>
      <c r="F307" s="169"/>
      <c r="G307" s="170">
        <f t="shared" si="33"/>
        <v>115432.78860536407</v>
      </c>
    </row>
    <row r="308" spans="1:9">
      <c r="A308" s="168">
        <v>294</v>
      </c>
      <c r="B308" s="171">
        <f t="shared" si="29"/>
        <v>2086.3886248819185</v>
      </c>
      <c r="C308" s="171">
        <f t="shared" si="30"/>
        <v>673.35793353129043</v>
      </c>
      <c r="D308" s="171">
        <f t="shared" si="31"/>
        <v>1413.0306913506281</v>
      </c>
      <c r="E308" s="169">
        <f t="shared" si="32"/>
        <v>0</v>
      </c>
      <c r="F308" s="169"/>
      <c r="G308" s="170">
        <f t="shared" si="33"/>
        <v>114019.75791401345</v>
      </c>
    </row>
    <row r="309" spans="1:9">
      <c r="A309" s="168">
        <v>295</v>
      </c>
      <c r="B309" s="171">
        <f t="shared" si="29"/>
        <v>2086.3886248819185</v>
      </c>
      <c r="C309" s="171">
        <f t="shared" si="30"/>
        <v>665.11525449841179</v>
      </c>
      <c r="D309" s="171">
        <f t="shared" si="31"/>
        <v>1421.2733703835067</v>
      </c>
      <c r="E309" s="169">
        <f t="shared" si="32"/>
        <v>0</v>
      </c>
      <c r="F309" s="169"/>
      <c r="G309" s="170">
        <f t="shared" si="33"/>
        <v>112598.48454362994</v>
      </c>
    </row>
    <row r="310" spans="1:9">
      <c r="A310" s="168">
        <v>296</v>
      </c>
      <c r="B310" s="171">
        <f t="shared" si="29"/>
        <v>2086.3886248819185</v>
      </c>
      <c r="C310" s="171">
        <f t="shared" si="30"/>
        <v>656.82449317117471</v>
      </c>
      <c r="D310" s="171">
        <f t="shared" si="31"/>
        <v>1429.5641317107438</v>
      </c>
      <c r="E310" s="169">
        <f t="shared" si="32"/>
        <v>0</v>
      </c>
      <c r="F310" s="169"/>
      <c r="G310" s="170">
        <f t="shared" si="33"/>
        <v>111168.92041191919</v>
      </c>
    </row>
    <row r="311" spans="1:9">
      <c r="A311" s="168">
        <v>297</v>
      </c>
      <c r="B311" s="171">
        <f t="shared" si="29"/>
        <v>2086.3886248819185</v>
      </c>
      <c r="C311" s="171">
        <f t="shared" si="30"/>
        <v>648.48536906952859</v>
      </c>
      <c r="D311" s="171">
        <f t="shared" si="31"/>
        <v>1437.9032558123899</v>
      </c>
      <c r="E311" s="169">
        <f t="shared" si="32"/>
        <v>0</v>
      </c>
      <c r="F311" s="169"/>
      <c r="G311" s="170">
        <f t="shared" si="33"/>
        <v>109731.0171561068</v>
      </c>
    </row>
    <row r="312" spans="1:9">
      <c r="A312" s="168">
        <v>298</v>
      </c>
      <c r="B312" s="171">
        <f t="shared" si="29"/>
        <v>2086.3886248819185</v>
      </c>
      <c r="C312" s="171">
        <f t="shared" si="30"/>
        <v>640.09760007728971</v>
      </c>
      <c r="D312" s="171">
        <f t="shared" si="31"/>
        <v>1446.2910248046287</v>
      </c>
      <c r="E312" s="169">
        <f t="shared" si="32"/>
        <v>0</v>
      </c>
      <c r="F312" s="169"/>
      <c r="G312" s="170">
        <f t="shared" si="33"/>
        <v>108284.72613130217</v>
      </c>
    </row>
    <row r="313" spans="1:9">
      <c r="A313" s="168">
        <v>299</v>
      </c>
      <c r="B313" s="171">
        <f t="shared" si="29"/>
        <v>2086.3886248819185</v>
      </c>
      <c r="C313" s="171">
        <f t="shared" si="30"/>
        <v>631.660902432596</v>
      </c>
      <c r="D313" s="171">
        <f t="shared" si="31"/>
        <v>1454.7277224493225</v>
      </c>
      <c r="E313" s="169">
        <f t="shared" si="32"/>
        <v>0</v>
      </c>
      <c r="F313" s="169"/>
      <c r="G313" s="170">
        <f t="shared" si="33"/>
        <v>106829.99840885286</v>
      </c>
    </row>
    <row r="314" spans="1:9">
      <c r="A314" s="168">
        <v>300</v>
      </c>
      <c r="B314" s="171">
        <f t="shared" si="29"/>
        <v>2086.3886248819185</v>
      </c>
      <c r="C314" s="171">
        <f t="shared" si="30"/>
        <v>623.17499071830832</v>
      </c>
      <c r="D314" s="171">
        <f t="shared" si="31"/>
        <v>1463.2136341636101</v>
      </c>
      <c r="E314" s="169">
        <f t="shared" si="32"/>
        <v>0</v>
      </c>
      <c r="F314" s="169"/>
      <c r="G314" s="170">
        <f t="shared" si="33"/>
        <v>105366.78477468925</v>
      </c>
      <c r="H314" s="182">
        <f>SUM(D303:D314)</f>
        <v>17009.180552800593</v>
      </c>
      <c r="I314">
        <f>A314/12</f>
        <v>25</v>
      </c>
    </row>
    <row r="315" spans="1:9">
      <c r="A315" s="168">
        <v>301</v>
      </c>
      <c r="B315" s="171">
        <f t="shared" si="29"/>
        <v>2086.3886248819185</v>
      </c>
      <c r="C315" s="171">
        <f t="shared" si="30"/>
        <v>614.63957785235402</v>
      </c>
      <c r="D315" s="171">
        <f t="shared" si="31"/>
        <v>1471.7490470295645</v>
      </c>
      <c r="E315" s="169">
        <f t="shared" si="32"/>
        <v>0</v>
      </c>
      <c r="F315" s="169"/>
      <c r="G315" s="170">
        <f t="shared" si="33"/>
        <v>103895.03572765969</v>
      </c>
    </row>
    <row r="316" spans="1:9">
      <c r="A316" s="168">
        <v>302</v>
      </c>
      <c r="B316" s="171">
        <f t="shared" si="29"/>
        <v>2086.3886248819185</v>
      </c>
      <c r="C316" s="171">
        <f t="shared" si="30"/>
        <v>606.05437507801491</v>
      </c>
      <c r="D316" s="171">
        <f t="shared" si="31"/>
        <v>1480.3342498039037</v>
      </c>
      <c r="E316" s="169">
        <f t="shared" si="32"/>
        <v>0</v>
      </c>
      <c r="F316" s="169"/>
      <c r="G316" s="170">
        <f t="shared" si="33"/>
        <v>102414.70147785579</v>
      </c>
    </row>
    <row r="317" spans="1:9">
      <c r="A317" s="168">
        <v>303</v>
      </c>
      <c r="B317" s="171">
        <f t="shared" si="29"/>
        <v>2086.3886248819185</v>
      </c>
      <c r="C317" s="171">
        <f t="shared" si="30"/>
        <v>597.41909195415883</v>
      </c>
      <c r="D317" s="171">
        <f t="shared" si="31"/>
        <v>1488.9695329277597</v>
      </c>
      <c r="E317" s="169">
        <f t="shared" si="32"/>
        <v>0</v>
      </c>
      <c r="F317" s="169"/>
      <c r="G317" s="170">
        <f t="shared" si="33"/>
        <v>100925.73194492803</v>
      </c>
    </row>
    <row r="318" spans="1:9">
      <c r="A318" s="168">
        <v>304</v>
      </c>
      <c r="B318" s="171">
        <f t="shared" si="29"/>
        <v>2086.3886248819185</v>
      </c>
      <c r="C318" s="171">
        <f t="shared" si="30"/>
        <v>588.73343634541357</v>
      </c>
      <c r="D318" s="171">
        <f t="shared" si="31"/>
        <v>1497.655188536505</v>
      </c>
      <c r="E318" s="169">
        <f t="shared" si="32"/>
        <v>0</v>
      </c>
      <c r="F318" s="169"/>
      <c r="G318" s="170">
        <f t="shared" si="33"/>
        <v>99428.076756391529</v>
      </c>
    </row>
    <row r="319" spans="1:9">
      <c r="A319" s="168">
        <v>305</v>
      </c>
      <c r="B319" s="171">
        <f t="shared" si="29"/>
        <v>2086.3886248819185</v>
      </c>
      <c r="C319" s="171">
        <f t="shared" si="30"/>
        <v>579.99711441228396</v>
      </c>
      <c r="D319" s="171">
        <f t="shared" si="31"/>
        <v>1506.3915104696346</v>
      </c>
      <c r="E319" s="169">
        <f t="shared" si="32"/>
        <v>0</v>
      </c>
      <c r="F319" s="169"/>
      <c r="G319" s="170">
        <f t="shared" si="33"/>
        <v>97921.685245921894</v>
      </c>
    </row>
    <row r="320" spans="1:9">
      <c r="A320" s="168">
        <v>306</v>
      </c>
      <c r="B320" s="171">
        <f t="shared" si="29"/>
        <v>2086.3886248819185</v>
      </c>
      <c r="C320" s="171">
        <f t="shared" si="30"/>
        <v>571.20983060121102</v>
      </c>
      <c r="D320" s="171">
        <f t="shared" si="31"/>
        <v>1515.1787942807075</v>
      </c>
      <c r="E320" s="169">
        <f t="shared" si="32"/>
        <v>0</v>
      </c>
      <c r="F320" s="169"/>
      <c r="G320" s="170">
        <f t="shared" si="33"/>
        <v>96406.50645164118</v>
      </c>
    </row>
    <row r="321" spans="1:9">
      <c r="A321" s="168">
        <v>307</v>
      </c>
      <c r="B321" s="171">
        <f t="shared" si="29"/>
        <v>2086.3886248819185</v>
      </c>
      <c r="C321" s="171">
        <f t="shared" si="30"/>
        <v>562.3712876345736</v>
      </c>
      <c r="D321" s="171">
        <f t="shared" si="31"/>
        <v>1524.017337247345</v>
      </c>
      <c r="E321" s="169">
        <f t="shared" si="32"/>
        <v>0</v>
      </c>
      <c r="F321" s="169"/>
      <c r="G321" s="170">
        <f t="shared" si="33"/>
        <v>94882.489114393829</v>
      </c>
    </row>
    <row r="322" spans="1:9">
      <c r="A322" s="168">
        <v>308</v>
      </c>
      <c r="B322" s="171">
        <f t="shared" si="29"/>
        <v>2086.3886248819185</v>
      </c>
      <c r="C322" s="171">
        <f t="shared" si="30"/>
        <v>553.48118650063066</v>
      </c>
      <c r="D322" s="171">
        <f t="shared" si="31"/>
        <v>1532.9074383812879</v>
      </c>
      <c r="E322" s="169">
        <f t="shared" si="32"/>
        <v>0</v>
      </c>
      <c r="F322" s="169"/>
      <c r="G322" s="170">
        <f t="shared" si="33"/>
        <v>93349.581676012545</v>
      </c>
    </row>
    <row r="323" spans="1:9">
      <c r="A323" s="168">
        <v>309</v>
      </c>
      <c r="B323" s="171">
        <f t="shared" si="29"/>
        <v>2086.3886248819185</v>
      </c>
      <c r="C323" s="171">
        <f t="shared" si="30"/>
        <v>544.53922644340651</v>
      </c>
      <c r="D323" s="171">
        <f t="shared" si="31"/>
        <v>1541.849398438512</v>
      </c>
      <c r="E323" s="169">
        <f t="shared" si="32"/>
        <v>0</v>
      </c>
      <c r="F323" s="169"/>
      <c r="G323" s="170">
        <f t="shared" si="33"/>
        <v>91807.732277574032</v>
      </c>
    </row>
    <row r="324" spans="1:9">
      <c r="A324" s="168">
        <v>310</v>
      </c>
      <c r="B324" s="171">
        <f t="shared" si="29"/>
        <v>2086.3886248819185</v>
      </c>
      <c r="C324" s="171">
        <f t="shared" si="30"/>
        <v>535.5451049525152</v>
      </c>
      <c r="D324" s="171">
        <f t="shared" si="31"/>
        <v>1550.8435199294033</v>
      </c>
      <c r="E324" s="169">
        <f t="shared" si="32"/>
        <v>0</v>
      </c>
      <c r="F324" s="169"/>
      <c r="G324" s="170">
        <f t="shared" si="33"/>
        <v>90256.888757644629</v>
      </c>
    </row>
    <row r="325" spans="1:9">
      <c r="A325" s="168">
        <v>311</v>
      </c>
      <c r="B325" s="171">
        <f t="shared" si="29"/>
        <v>2086.3886248819185</v>
      </c>
      <c r="C325" s="171">
        <f t="shared" si="30"/>
        <v>526.498517752927</v>
      </c>
      <c r="D325" s="171">
        <f t="shared" si="31"/>
        <v>1559.8901071289915</v>
      </c>
      <c r="E325" s="169">
        <f t="shared" si="32"/>
        <v>0</v>
      </c>
      <c r="F325" s="169"/>
      <c r="G325" s="170">
        <f t="shared" si="33"/>
        <v>88696.998650515641</v>
      </c>
    </row>
    <row r="326" spans="1:9">
      <c r="A326" s="168">
        <v>312</v>
      </c>
      <c r="B326" s="171">
        <f t="shared" si="29"/>
        <v>2086.3886248819185</v>
      </c>
      <c r="C326" s="171">
        <f t="shared" si="30"/>
        <v>517.39915879467458</v>
      </c>
      <c r="D326" s="171">
        <f t="shared" si="31"/>
        <v>1568.989466087244</v>
      </c>
      <c r="E326" s="169">
        <f t="shared" si="32"/>
        <v>0</v>
      </c>
      <c r="F326" s="169"/>
      <c r="G326" s="170">
        <f t="shared" si="33"/>
        <v>87128.009184428403</v>
      </c>
      <c r="H326" s="182">
        <f>SUM(D315:D326)</f>
        <v>18238.775590260859</v>
      </c>
      <c r="I326">
        <f>A326/12</f>
        <v>26</v>
      </c>
    </row>
    <row r="327" spans="1:9">
      <c r="A327" s="168">
        <v>313</v>
      </c>
      <c r="B327" s="171">
        <f t="shared" si="29"/>
        <v>2086.3886248819185</v>
      </c>
      <c r="C327" s="171">
        <f t="shared" si="30"/>
        <v>508.24672024249907</v>
      </c>
      <c r="D327" s="171">
        <f t="shared" si="31"/>
        <v>1578.1419046394194</v>
      </c>
      <c r="E327" s="169">
        <f t="shared" si="32"/>
        <v>0</v>
      </c>
      <c r="F327" s="169"/>
      <c r="G327" s="170">
        <f t="shared" si="33"/>
        <v>85549.867279788989</v>
      </c>
    </row>
    <row r="328" spans="1:9">
      <c r="A328" s="168">
        <v>314</v>
      </c>
      <c r="B328" s="171">
        <f t="shared" si="29"/>
        <v>2086.3886248819185</v>
      </c>
      <c r="C328" s="171">
        <f t="shared" si="30"/>
        <v>499.04089246543577</v>
      </c>
      <c r="D328" s="171">
        <f t="shared" si="31"/>
        <v>1587.3477324164828</v>
      </c>
      <c r="E328" s="169">
        <f t="shared" si="32"/>
        <v>0</v>
      </c>
      <c r="F328" s="169"/>
      <c r="G328" s="170">
        <f t="shared" si="33"/>
        <v>83962.519547372503</v>
      </c>
    </row>
    <row r="329" spans="1:9">
      <c r="A329" s="168">
        <v>315</v>
      </c>
      <c r="B329" s="171">
        <f t="shared" si="29"/>
        <v>2086.3886248819185</v>
      </c>
      <c r="C329" s="171">
        <f t="shared" si="30"/>
        <v>489.78136402633965</v>
      </c>
      <c r="D329" s="171">
        <f t="shared" si="31"/>
        <v>1596.6072608555789</v>
      </c>
      <c r="E329" s="169">
        <f t="shared" si="32"/>
        <v>0</v>
      </c>
      <c r="F329" s="169"/>
      <c r="G329" s="170">
        <f t="shared" si="33"/>
        <v>82365.912286516919</v>
      </c>
    </row>
    <row r="330" spans="1:9">
      <c r="A330" s="168">
        <v>316</v>
      </c>
      <c r="B330" s="171">
        <f t="shared" si="29"/>
        <v>2086.3886248819185</v>
      </c>
      <c r="C330" s="171">
        <f t="shared" si="30"/>
        <v>480.4678216713487</v>
      </c>
      <c r="D330" s="171">
        <f t="shared" si="31"/>
        <v>1605.9208032105698</v>
      </c>
      <c r="E330" s="169">
        <f t="shared" si="32"/>
        <v>0</v>
      </c>
      <c r="F330" s="169"/>
      <c r="G330" s="170">
        <f t="shared" si="33"/>
        <v>80759.991483306352</v>
      </c>
    </row>
    <row r="331" spans="1:9">
      <c r="A331" s="168">
        <v>317</v>
      </c>
      <c r="B331" s="171">
        <f t="shared" si="29"/>
        <v>2086.3886248819185</v>
      </c>
      <c r="C331" s="171">
        <f t="shared" si="30"/>
        <v>471.09995031928707</v>
      </c>
      <c r="D331" s="171">
        <f t="shared" si="31"/>
        <v>1615.2886745626315</v>
      </c>
      <c r="E331" s="169">
        <f t="shared" si="32"/>
        <v>0</v>
      </c>
      <c r="F331" s="169"/>
      <c r="G331" s="170">
        <f t="shared" si="33"/>
        <v>79144.702808743721</v>
      </c>
    </row>
    <row r="332" spans="1:9">
      <c r="A332" s="168">
        <v>318</v>
      </c>
      <c r="B332" s="171">
        <f t="shared" si="29"/>
        <v>2086.3886248819185</v>
      </c>
      <c r="C332" s="171">
        <f t="shared" si="30"/>
        <v>461.67743305100504</v>
      </c>
      <c r="D332" s="171">
        <f t="shared" si="31"/>
        <v>1624.7111918309135</v>
      </c>
      <c r="E332" s="169">
        <f t="shared" si="32"/>
        <v>0</v>
      </c>
      <c r="F332" s="169"/>
      <c r="G332" s="170">
        <f t="shared" si="33"/>
        <v>77519.991616912812</v>
      </c>
    </row>
    <row r="333" spans="1:9">
      <c r="A333" s="168">
        <v>319</v>
      </c>
      <c r="B333" s="171">
        <f t="shared" si="29"/>
        <v>2086.3886248819185</v>
      </c>
      <c r="C333" s="171">
        <f t="shared" si="30"/>
        <v>452.19995109865806</v>
      </c>
      <c r="D333" s="171">
        <f t="shared" si="31"/>
        <v>1634.1886737832606</v>
      </c>
      <c r="E333" s="169">
        <f t="shared" si="32"/>
        <v>0</v>
      </c>
      <c r="F333" s="169"/>
      <c r="G333" s="170">
        <f t="shared" si="33"/>
        <v>75885.802943129558</v>
      </c>
    </row>
    <row r="334" spans="1:9">
      <c r="A334" s="168">
        <v>320</v>
      </c>
      <c r="B334" s="171">
        <f t="shared" si="29"/>
        <v>2086.3886248819185</v>
      </c>
      <c r="C334" s="171">
        <f t="shared" si="30"/>
        <v>442.66718383492247</v>
      </c>
      <c r="D334" s="171">
        <f t="shared" si="31"/>
        <v>1643.721441046996</v>
      </c>
      <c r="E334" s="169">
        <f t="shared" si="32"/>
        <v>0</v>
      </c>
      <c r="F334" s="169"/>
      <c r="G334" s="170">
        <f t="shared" si="33"/>
        <v>74242.081502082568</v>
      </c>
    </row>
    <row r="335" spans="1:9">
      <c r="A335" s="168">
        <v>321</v>
      </c>
      <c r="B335" s="171">
        <f t="shared" si="29"/>
        <v>2086.3886248819185</v>
      </c>
      <c r="C335" s="171">
        <f t="shared" si="30"/>
        <v>433.07880876214836</v>
      </c>
      <c r="D335" s="171">
        <f t="shared" si="31"/>
        <v>1653.3098161197702</v>
      </c>
      <c r="E335" s="169">
        <f t="shared" si="32"/>
        <v>0</v>
      </c>
      <c r="F335" s="169"/>
      <c r="G335" s="170">
        <f t="shared" si="33"/>
        <v>72588.771685962798</v>
      </c>
    </row>
    <row r="336" spans="1:9">
      <c r="A336" s="168">
        <v>322</v>
      </c>
      <c r="B336" s="171">
        <f t="shared" ref="B336:B374" si="34">IF($B$6&lt;=G335,$B$6,G335+G335*$B$4/$B$5)</f>
        <v>2086.3886248819185</v>
      </c>
      <c r="C336" s="171">
        <f t="shared" ref="C336:C374" si="35">IF(B336&gt;0,$B$4/$B$5*G335,0)</f>
        <v>423.43450150144969</v>
      </c>
      <c r="D336" s="171">
        <f t="shared" ref="D336:D374" si="36">IF(B336&gt;0,MIN(B336-C336,G335),0)</f>
        <v>1662.9541233804689</v>
      </c>
      <c r="E336" s="169">
        <f t="shared" ref="E336:E374" si="37">IF(G335-D336&gt;=$B$7,$B$7,G335-D336)</f>
        <v>0</v>
      </c>
      <c r="F336" s="169"/>
      <c r="G336" s="170">
        <f t="shared" ref="G336:G374" si="38">IF(ROUND(G335,5)&gt;0,G335-D336-E336,0)</f>
        <v>70925.817562582335</v>
      </c>
    </row>
    <row r="337" spans="1:9">
      <c r="A337" s="168">
        <v>323</v>
      </c>
      <c r="B337" s="171">
        <f t="shared" si="34"/>
        <v>2086.3886248819185</v>
      </c>
      <c r="C337" s="171">
        <f t="shared" si="35"/>
        <v>413.73393578173028</v>
      </c>
      <c r="D337" s="171">
        <f t="shared" si="36"/>
        <v>1672.6546891001883</v>
      </c>
      <c r="E337" s="169">
        <f t="shared" si="37"/>
        <v>0</v>
      </c>
      <c r="F337" s="169"/>
      <c r="G337" s="170">
        <f t="shared" si="38"/>
        <v>69253.162873482142</v>
      </c>
    </row>
    <row r="338" spans="1:9">
      <c r="A338" s="168">
        <v>324</v>
      </c>
      <c r="B338" s="171">
        <f t="shared" si="34"/>
        <v>2086.3886248819185</v>
      </c>
      <c r="C338" s="171">
        <f t="shared" si="35"/>
        <v>403.97678342864583</v>
      </c>
      <c r="D338" s="171">
        <f t="shared" si="36"/>
        <v>1682.4118414532727</v>
      </c>
      <c r="E338" s="169">
        <f t="shared" si="37"/>
        <v>0</v>
      </c>
      <c r="F338" s="169"/>
      <c r="G338" s="170">
        <f t="shared" si="38"/>
        <v>67570.751032028871</v>
      </c>
      <c r="H338" s="182">
        <f>SUM(D327:D338)</f>
        <v>19557.25815239955</v>
      </c>
      <c r="I338">
        <f>A338/12</f>
        <v>27</v>
      </c>
    </row>
    <row r="339" spans="1:9">
      <c r="A339" s="168">
        <v>325</v>
      </c>
      <c r="B339" s="171">
        <f t="shared" si="34"/>
        <v>2086.3886248819185</v>
      </c>
      <c r="C339" s="171">
        <f t="shared" si="35"/>
        <v>394.16271435350177</v>
      </c>
      <c r="D339" s="171">
        <f t="shared" si="36"/>
        <v>1692.2259105284168</v>
      </c>
      <c r="E339" s="169">
        <f t="shared" si="37"/>
        <v>0</v>
      </c>
      <c r="F339" s="169"/>
      <c r="G339" s="170">
        <f t="shared" si="38"/>
        <v>65878.525121500454</v>
      </c>
    </row>
    <row r="340" spans="1:9">
      <c r="A340" s="168">
        <v>326</v>
      </c>
      <c r="B340" s="171">
        <f t="shared" si="34"/>
        <v>2086.3886248819185</v>
      </c>
      <c r="C340" s="171">
        <f t="shared" si="35"/>
        <v>384.29139654208598</v>
      </c>
      <c r="D340" s="171">
        <f t="shared" si="36"/>
        <v>1702.0972283398326</v>
      </c>
      <c r="E340" s="169">
        <f t="shared" si="37"/>
        <v>0</v>
      </c>
      <c r="F340" s="169"/>
      <c r="G340" s="170">
        <f t="shared" si="38"/>
        <v>64176.427893160624</v>
      </c>
    </row>
    <row r="341" spans="1:9">
      <c r="A341" s="168">
        <v>327</v>
      </c>
      <c r="B341" s="171">
        <f t="shared" si="34"/>
        <v>2086.3886248819185</v>
      </c>
      <c r="C341" s="171">
        <f t="shared" si="35"/>
        <v>374.36249604343698</v>
      </c>
      <c r="D341" s="171">
        <f t="shared" si="36"/>
        <v>1712.0261288384816</v>
      </c>
      <c r="E341" s="169">
        <f t="shared" si="37"/>
        <v>0</v>
      </c>
      <c r="F341" s="169"/>
      <c r="G341" s="170">
        <f t="shared" si="38"/>
        <v>62464.401764322145</v>
      </c>
    </row>
    <row r="342" spans="1:9">
      <c r="A342" s="168">
        <v>328</v>
      </c>
      <c r="B342" s="171">
        <f t="shared" si="34"/>
        <v>2086.3886248819185</v>
      </c>
      <c r="C342" s="171">
        <f t="shared" si="35"/>
        <v>364.37567695854585</v>
      </c>
      <c r="D342" s="171">
        <f t="shared" si="36"/>
        <v>1722.0129479233726</v>
      </c>
      <c r="E342" s="169">
        <f t="shared" si="37"/>
        <v>0</v>
      </c>
      <c r="F342" s="169"/>
      <c r="G342" s="170">
        <f t="shared" si="38"/>
        <v>60742.388816398772</v>
      </c>
    </row>
    <row r="343" spans="1:9">
      <c r="A343" s="168">
        <v>329</v>
      </c>
      <c r="B343" s="171">
        <f t="shared" si="34"/>
        <v>2086.3886248819185</v>
      </c>
      <c r="C343" s="171">
        <f t="shared" si="35"/>
        <v>354.33060142899285</v>
      </c>
      <c r="D343" s="171">
        <f t="shared" si="36"/>
        <v>1732.0580234529257</v>
      </c>
      <c r="E343" s="169">
        <f t="shared" si="37"/>
        <v>0</v>
      </c>
      <c r="F343" s="169"/>
      <c r="G343" s="170">
        <f t="shared" si="38"/>
        <v>59010.330792945846</v>
      </c>
    </row>
    <row r="344" spans="1:9">
      <c r="A344" s="168">
        <v>330</v>
      </c>
      <c r="B344" s="171">
        <f t="shared" si="34"/>
        <v>2086.3886248819185</v>
      </c>
      <c r="C344" s="171">
        <f t="shared" si="35"/>
        <v>344.22692962551747</v>
      </c>
      <c r="D344" s="171">
        <f t="shared" si="36"/>
        <v>1742.1616952564011</v>
      </c>
      <c r="E344" s="169">
        <f t="shared" si="37"/>
        <v>0</v>
      </c>
      <c r="F344" s="169"/>
      <c r="G344" s="170">
        <f t="shared" si="38"/>
        <v>57268.169097689446</v>
      </c>
    </row>
    <row r="345" spans="1:9">
      <c r="A345" s="168">
        <v>331</v>
      </c>
      <c r="B345" s="171">
        <f t="shared" si="34"/>
        <v>2086.3886248819185</v>
      </c>
      <c r="C345" s="171">
        <f t="shared" si="35"/>
        <v>334.06431973652178</v>
      </c>
      <c r="D345" s="171">
        <f t="shared" si="36"/>
        <v>1752.3243051453967</v>
      </c>
      <c r="E345" s="169">
        <f t="shared" si="37"/>
        <v>0</v>
      </c>
      <c r="F345" s="169"/>
      <c r="G345" s="170">
        <f t="shared" si="38"/>
        <v>55515.844792544049</v>
      </c>
    </row>
    <row r="346" spans="1:9">
      <c r="A346" s="168">
        <v>332</v>
      </c>
      <c r="B346" s="171">
        <f t="shared" si="34"/>
        <v>2086.3886248819185</v>
      </c>
      <c r="C346" s="171">
        <f t="shared" si="35"/>
        <v>323.84242795650698</v>
      </c>
      <c r="D346" s="171">
        <f t="shared" si="36"/>
        <v>1762.5461969254116</v>
      </c>
      <c r="E346" s="169">
        <f t="shared" si="37"/>
        <v>0</v>
      </c>
      <c r="F346" s="169"/>
      <c r="G346" s="170">
        <f t="shared" si="38"/>
        <v>53753.298595618639</v>
      </c>
    </row>
    <row r="347" spans="1:9">
      <c r="A347" s="168">
        <v>333</v>
      </c>
      <c r="B347" s="171">
        <f t="shared" si="34"/>
        <v>2086.3886248819185</v>
      </c>
      <c r="C347" s="171">
        <f t="shared" si="35"/>
        <v>313.56090847444204</v>
      </c>
      <c r="D347" s="171">
        <f t="shared" si="36"/>
        <v>1772.8277164074766</v>
      </c>
      <c r="E347" s="169">
        <f t="shared" si="37"/>
        <v>0</v>
      </c>
      <c r="F347" s="169"/>
      <c r="G347" s="170">
        <f t="shared" si="38"/>
        <v>51980.470879211163</v>
      </c>
    </row>
    <row r="348" spans="1:9">
      <c r="A348" s="168">
        <v>334</v>
      </c>
      <c r="B348" s="171">
        <f t="shared" si="34"/>
        <v>2086.3886248819185</v>
      </c>
      <c r="C348" s="171">
        <f t="shared" si="35"/>
        <v>303.21941346206512</v>
      </c>
      <c r="D348" s="171">
        <f t="shared" si="36"/>
        <v>1783.1692114198534</v>
      </c>
      <c r="E348" s="169">
        <f t="shared" si="37"/>
        <v>0</v>
      </c>
      <c r="F348" s="169"/>
      <c r="G348" s="170">
        <f t="shared" si="38"/>
        <v>50197.301667791311</v>
      </c>
    </row>
    <row r="349" spans="1:9">
      <c r="A349" s="168">
        <v>335</v>
      </c>
      <c r="B349" s="171">
        <f t="shared" si="34"/>
        <v>2086.3886248819185</v>
      </c>
      <c r="C349" s="171">
        <f t="shared" si="35"/>
        <v>292.81759306211598</v>
      </c>
      <c r="D349" s="171">
        <f t="shared" si="36"/>
        <v>1793.5710318198026</v>
      </c>
      <c r="E349" s="169">
        <f t="shared" si="37"/>
        <v>0</v>
      </c>
      <c r="F349" s="169"/>
      <c r="G349" s="170">
        <f t="shared" si="38"/>
        <v>48403.730635971508</v>
      </c>
    </row>
    <row r="350" spans="1:9">
      <c r="A350" s="168">
        <v>336</v>
      </c>
      <c r="B350" s="171">
        <f t="shared" si="34"/>
        <v>2086.3886248819185</v>
      </c>
      <c r="C350" s="171">
        <f t="shared" si="35"/>
        <v>282.35509537650046</v>
      </c>
      <c r="D350" s="171">
        <f t="shared" si="36"/>
        <v>1804.0335295054181</v>
      </c>
      <c r="E350" s="169">
        <f t="shared" si="37"/>
        <v>0</v>
      </c>
      <c r="F350" s="169"/>
      <c r="G350" s="170">
        <f t="shared" si="38"/>
        <v>46599.69710646609</v>
      </c>
      <c r="H350" s="182">
        <f>SUM(D339:D350)</f>
        <v>20971.053925562792</v>
      </c>
      <c r="I350">
        <f>A350/12</f>
        <v>28</v>
      </c>
    </row>
    <row r="351" spans="1:9">
      <c r="A351" s="168">
        <v>337</v>
      </c>
      <c r="B351" s="171">
        <f t="shared" si="34"/>
        <v>2086.3886248819185</v>
      </c>
      <c r="C351" s="171">
        <f t="shared" si="35"/>
        <v>271.83156645438555</v>
      </c>
      <c r="D351" s="171">
        <f t="shared" si="36"/>
        <v>1814.5570584275329</v>
      </c>
      <c r="E351" s="169">
        <f t="shared" si="37"/>
        <v>0</v>
      </c>
      <c r="F351" s="169"/>
      <c r="G351" s="170">
        <f t="shared" si="38"/>
        <v>44785.140048038556</v>
      </c>
    </row>
    <row r="352" spans="1:9">
      <c r="A352" s="168">
        <v>338</v>
      </c>
      <c r="B352" s="171">
        <f t="shared" si="34"/>
        <v>2086.3886248819185</v>
      </c>
      <c r="C352" s="171">
        <f t="shared" si="35"/>
        <v>261.24665028022491</v>
      </c>
      <c r="D352" s="171">
        <f t="shared" si="36"/>
        <v>1825.1419746016936</v>
      </c>
      <c r="E352" s="169">
        <f t="shared" si="37"/>
        <v>0</v>
      </c>
      <c r="F352" s="169"/>
      <c r="G352" s="170">
        <f t="shared" si="38"/>
        <v>42959.998073436866</v>
      </c>
    </row>
    <row r="353" spans="1:9">
      <c r="A353" s="168">
        <v>339</v>
      </c>
      <c r="B353" s="171">
        <f t="shared" si="34"/>
        <v>2086.3886248819185</v>
      </c>
      <c r="C353" s="171">
        <f t="shared" si="35"/>
        <v>250.59998876171505</v>
      </c>
      <c r="D353" s="171">
        <f t="shared" si="36"/>
        <v>1835.7886361202036</v>
      </c>
      <c r="E353" s="169">
        <f t="shared" si="37"/>
        <v>0</v>
      </c>
      <c r="F353" s="169"/>
      <c r="G353" s="170">
        <f t="shared" si="38"/>
        <v>41124.209437316662</v>
      </c>
    </row>
    <row r="354" spans="1:9">
      <c r="A354" s="168">
        <v>340</v>
      </c>
      <c r="B354" s="171">
        <f t="shared" si="34"/>
        <v>2086.3886248819185</v>
      </c>
      <c r="C354" s="171">
        <f t="shared" si="35"/>
        <v>239.89122171768054</v>
      </c>
      <c r="D354" s="171">
        <f t="shared" si="36"/>
        <v>1846.497403164238</v>
      </c>
      <c r="E354" s="169">
        <f t="shared" si="37"/>
        <v>0</v>
      </c>
      <c r="F354" s="169"/>
      <c r="G354" s="170">
        <f t="shared" si="38"/>
        <v>39277.712034152421</v>
      </c>
    </row>
    <row r="355" spans="1:9">
      <c r="A355" s="168">
        <v>341</v>
      </c>
      <c r="B355" s="171">
        <f t="shared" si="34"/>
        <v>2086.3886248819185</v>
      </c>
      <c r="C355" s="171">
        <f t="shared" si="35"/>
        <v>229.11998686588913</v>
      </c>
      <c r="D355" s="171">
        <f t="shared" si="36"/>
        <v>1857.2686380160294</v>
      </c>
      <c r="E355" s="169">
        <f t="shared" si="37"/>
        <v>0</v>
      </c>
      <c r="F355" s="169"/>
      <c r="G355" s="170">
        <f t="shared" si="38"/>
        <v>37420.44339613639</v>
      </c>
    </row>
    <row r="356" spans="1:9">
      <c r="A356" s="168">
        <v>342</v>
      </c>
      <c r="B356" s="171">
        <f t="shared" si="34"/>
        <v>2086.3886248819185</v>
      </c>
      <c r="C356" s="171">
        <f t="shared" si="35"/>
        <v>218.28591981079563</v>
      </c>
      <c r="D356" s="171">
        <f t="shared" si="36"/>
        <v>1868.102705071123</v>
      </c>
      <c r="E356" s="169">
        <f t="shared" si="37"/>
        <v>0</v>
      </c>
      <c r="F356" s="169"/>
      <c r="G356" s="170">
        <f t="shared" si="38"/>
        <v>35552.34069106527</v>
      </c>
    </row>
    <row r="357" spans="1:9">
      <c r="A357" s="168">
        <v>343</v>
      </c>
      <c r="B357" s="171">
        <f t="shared" si="34"/>
        <v>2086.3886248819185</v>
      </c>
      <c r="C357" s="171">
        <f t="shared" si="35"/>
        <v>207.38865403121409</v>
      </c>
      <c r="D357" s="171">
        <f t="shared" si="36"/>
        <v>1878.9999708507044</v>
      </c>
      <c r="E357" s="169">
        <f t="shared" si="37"/>
        <v>0</v>
      </c>
      <c r="F357" s="169"/>
      <c r="G357" s="170">
        <f t="shared" si="38"/>
        <v>33673.340720214568</v>
      </c>
    </row>
    <row r="358" spans="1:9">
      <c r="A358" s="168">
        <v>344</v>
      </c>
      <c r="B358" s="171">
        <f t="shared" si="34"/>
        <v>2086.3886248819185</v>
      </c>
      <c r="C358" s="171">
        <f t="shared" si="35"/>
        <v>196.42782086791831</v>
      </c>
      <c r="D358" s="171">
        <f t="shared" si="36"/>
        <v>1889.9608040140001</v>
      </c>
      <c r="E358" s="169">
        <f t="shared" si="37"/>
        <v>0</v>
      </c>
      <c r="F358" s="169"/>
      <c r="G358" s="170">
        <f t="shared" si="38"/>
        <v>31783.379916200567</v>
      </c>
    </row>
    <row r="359" spans="1:9">
      <c r="A359" s="168">
        <v>345</v>
      </c>
      <c r="B359" s="171">
        <f t="shared" si="34"/>
        <v>2086.3886248819185</v>
      </c>
      <c r="C359" s="171">
        <f t="shared" si="35"/>
        <v>185.40304951117</v>
      </c>
      <c r="D359" s="171">
        <f t="shared" si="36"/>
        <v>1900.9855753707486</v>
      </c>
      <c r="E359" s="169">
        <f t="shared" si="37"/>
        <v>0</v>
      </c>
      <c r="F359" s="169"/>
      <c r="G359" s="170">
        <f t="shared" si="38"/>
        <v>29882.394340829818</v>
      </c>
    </row>
    <row r="360" spans="1:9">
      <c r="A360" s="168">
        <v>346</v>
      </c>
      <c r="B360" s="171">
        <f t="shared" si="34"/>
        <v>2086.3886248819185</v>
      </c>
      <c r="C360" s="171">
        <f t="shared" si="35"/>
        <v>174.31396698817395</v>
      </c>
      <c r="D360" s="171">
        <f t="shared" si="36"/>
        <v>1912.0746578937446</v>
      </c>
      <c r="E360" s="169">
        <f t="shared" si="37"/>
        <v>0</v>
      </c>
      <c r="F360" s="169"/>
      <c r="G360" s="170">
        <f t="shared" si="38"/>
        <v>27970.319682936075</v>
      </c>
    </row>
    <row r="361" spans="1:9">
      <c r="A361" s="168">
        <v>347</v>
      </c>
      <c r="B361" s="171">
        <f t="shared" si="34"/>
        <v>2086.3886248819185</v>
      </c>
      <c r="C361" s="171">
        <f t="shared" si="35"/>
        <v>163.16019815046045</v>
      </c>
      <c r="D361" s="171">
        <f t="shared" si="36"/>
        <v>1923.2284267314581</v>
      </c>
      <c r="E361" s="169">
        <f t="shared" si="37"/>
        <v>0</v>
      </c>
      <c r="F361" s="169"/>
      <c r="G361" s="170">
        <f t="shared" si="38"/>
        <v>26047.091256204618</v>
      </c>
    </row>
    <row r="362" spans="1:9">
      <c r="A362" s="168">
        <v>348</v>
      </c>
      <c r="B362" s="171">
        <f t="shared" si="34"/>
        <v>2086.3886248819185</v>
      </c>
      <c r="C362" s="171">
        <f t="shared" si="35"/>
        <v>151.9413656611936</v>
      </c>
      <c r="D362" s="171">
        <f t="shared" si="36"/>
        <v>1934.4472592207248</v>
      </c>
      <c r="E362" s="169">
        <f t="shared" si="37"/>
        <v>0</v>
      </c>
      <c r="F362" s="169"/>
      <c r="G362" s="170">
        <f t="shared" si="38"/>
        <v>24112.643996983894</v>
      </c>
      <c r="H362" s="182">
        <f>SUM(D351:D362)</f>
        <v>22487.053109482196</v>
      </c>
      <c r="I362">
        <f>A362/12</f>
        <v>29</v>
      </c>
    </row>
    <row r="363" spans="1:9">
      <c r="A363" s="168">
        <v>349</v>
      </c>
      <c r="B363" s="171">
        <f t="shared" si="34"/>
        <v>2086.3886248819185</v>
      </c>
      <c r="C363" s="171">
        <f t="shared" si="35"/>
        <v>140.65708998240606</v>
      </c>
      <c r="D363" s="171">
        <f t="shared" si="36"/>
        <v>1945.7315348995126</v>
      </c>
      <c r="E363" s="169">
        <f t="shared" si="37"/>
        <v>0</v>
      </c>
      <c r="F363" s="169"/>
      <c r="G363" s="170">
        <f t="shared" si="38"/>
        <v>22166.91246208438</v>
      </c>
    </row>
    <row r="364" spans="1:9">
      <c r="A364" s="168">
        <v>350</v>
      </c>
      <c r="B364" s="171">
        <f t="shared" si="34"/>
        <v>2086.3886248819185</v>
      </c>
      <c r="C364" s="171">
        <f t="shared" si="35"/>
        <v>129.30698936215887</v>
      </c>
      <c r="D364" s="171">
        <f t="shared" si="36"/>
        <v>1957.0816355197596</v>
      </c>
      <c r="E364" s="169">
        <f t="shared" si="37"/>
        <v>0</v>
      </c>
      <c r="F364" s="169"/>
      <c r="G364" s="170">
        <f t="shared" si="38"/>
        <v>20209.830826564619</v>
      </c>
    </row>
    <row r="365" spans="1:9">
      <c r="A365" s="168">
        <v>351</v>
      </c>
      <c r="B365" s="171">
        <f t="shared" si="34"/>
        <v>2086.3886248819185</v>
      </c>
      <c r="C365" s="171">
        <f t="shared" si="35"/>
        <v>117.89067982162695</v>
      </c>
      <c r="D365" s="171">
        <f t="shared" si="36"/>
        <v>1968.4979450602916</v>
      </c>
      <c r="E365" s="169">
        <f t="shared" si="37"/>
        <v>0</v>
      </c>
      <c r="F365" s="169"/>
      <c r="G365" s="170">
        <f t="shared" si="38"/>
        <v>18241.332881504328</v>
      </c>
    </row>
    <row r="366" spans="1:9">
      <c r="A366" s="168">
        <v>352</v>
      </c>
      <c r="B366" s="171">
        <f t="shared" si="34"/>
        <v>2086.3886248819185</v>
      </c>
      <c r="C366" s="171">
        <f t="shared" si="35"/>
        <v>106.40777514210859</v>
      </c>
      <c r="D366" s="171">
        <f t="shared" si="36"/>
        <v>1979.9808497398099</v>
      </c>
      <c r="E366" s="169">
        <f t="shared" si="37"/>
        <v>0</v>
      </c>
      <c r="F366" s="169"/>
      <c r="G366" s="170">
        <f t="shared" si="38"/>
        <v>16261.352031764518</v>
      </c>
    </row>
    <row r="367" spans="1:9">
      <c r="A367" s="168">
        <v>353</v>
      </c>
      <c r="B367" s="171">
        <f t="shared" si="34"/>
        <v>2086.3886248819185</v>
      </c>
      <c r="C367" s="171">
        <f t="shared" si="35"/>
        <v>94.857886851959691</v>
      </c>
      <c r="D367" s="171">
        <f t="shared" si="36"/>
        <v>1991.5307380299589</v>
      </c>
      <c r="E367" s="169">
        <f t="shared" si="37"/>
        <v>0</v>
      </c>
      <c r="F367" s="169"/>
      <c r="G367" s="170">
        <f t="shared" si="38"/>
        <v>14269.82129373456</v>
      </c>
    </row>
    <row r="368" spans="1:9">
      <c r="A368" s="168">
        <v>354</v>
      </c>
      <c r="B368" s="171">
        <f t="shared" si="34"/>
        <v>2086.3886248819185</v>
      </c>
      <c r="C368" s="171">
        <f t="shared" si="35"/>
        <v>83.240624213451596</v>
      </c>
      <c r="D368" s="171">
        <f t="shared" si="36"/>
        <v>2003.1480006684669</v>
      </c>
      <c r="E368" s="169">
        <f t="shared" si="37"/>
        <v>0</v>
      </c>
      <c r="F368" s="169"/>
      <c r="G368" s="170">
        <f t="shared" si="38"/>
        <v>12266.673293066093</v>
      </c>
    </row>
    <row r="369" spans="1:11">
      <c r="A369" s="168">
        <v>355</v>
      </c>
      <c r="B369" s="171">
        <f t="shared" si="34"/>
        <v>2086.3886248819185</v>
      </c>
      <c r="C369" s="171">
        <f t="shared" si="35"/>
        <v>71.555594209552211</v>
      </c>
      <c r="D369" s="171">
        <f t="shared" si="36"/>
        <v>2014.8330306723662</v>
      </c>
      <c r="E369" s="169">
        <f t="shared" si="37"/>
        <v>0</v>
      </c>
      <c r="F369" s="169"/>
      <c r="G369" s="170">
        <f t="shared" si="38"/>
        <v>10251.840262393727</v>
      </c>
    </row>
    <row r="370" spans="1:11">
      <c r="A370" s="168">
        <v>356</v>
      </c>
      <c r="B370" s="171">
        <f t="shared" si="34"/>
        <v>2086.3886248819185</v>
      </c>
      <c r="C370" s="171">
        <f t="shared" si="35"/>
        <v>59.802401530630078</v>
      </c>
      <c r="D370" s="171">
        <f t="shared" si="36"/>
        <v>2026.5862233512885</v>
      </c>
      <c r="E370" s="169">
        <f t="shared" si="37"/>
        <v>0</v>
      </c>
      <c r="F370" s="169"/>
      <c r="G370" s="170">
        <f t="shared" si="38"/>
        <v>8225.2540390424383</v>
      </c>
    </row>
    <row r="371" spans="1:11">
      <c r="A371" s="168">
        <v>357</v>
      </c>
      <c r="B371" s="171">
        <f t="shared" si="34"/>
        <v>2086.3886248819185</v>
      </c>
      <c r="C371" s="171">
        <f t="shared" si="35"/>
        <v>47.980648561080891</v>
      </c>
      <c r="D371" s="171">
        <f t="shared" si="36"/>
        <v>2038.4079763208376</v>
      </c>
      <c r="E371" s="169">
        <f t="shared" si="37"/>
        <v>0</v>
      </c>
      <c r="F371" s="169"/>
      <c r="G371" s="170">
        <f t="shared" si="38"/>
        <v>6186.8460627216009</v>
      </c>
    </row>
    <row r="372" spans="1:11">
      <c r="A372" s="168">
        <v>358</v>
      </c>
      <c r="B372" s="171">
        <f t="shared" si="34"/>
        <v>2086.3886248819185</v>
      </c>
      <c r="C372" s="171">
        <f t="shared" si="35"/>
        <v>36.089935365876009</v>
      </c>
      <c r="D372" s="171">
        <f t="shared" si="36"/>
        <v>2050.2986895160425</v>
      </c>
      <c r="E372" s="169">
        <f t="shared" si="37"/>
        <v>0</v>
      </c>
      <c r="F372" s="169"/>
      <c r="G372" s="170">
        <f t="shared" si="38"/>
        <v>4136.547373205558</v>
      </c>
    </row>
    <row r="373" spans="1:11">
      <c r="A373" s="168">
        <v>359</v>
      </c>
      <c r="B373" s="171">
        <f t="shared" si="34"/>
        <v>2086.3886248819185</v>
      </c>
      <c r="C373" s="171">
        <f t="shared" si="35"/>
        <v>24.129859677032421</v>
      </c>
      <c r="D373" s="171">
        <f t="shared" si="36"/>
        <v>2062.258765204886</v>
      </c>
      <c r="E373" s="169">
        <f t="shared" si="37"/>
        <v>0</v>
      </c>
      <c r="F373" s="169"/>
      <c r="G373" s="170">
        <f t="shared" si="38"/>
        <v>2074.288608000672</v>
      </c>
    </row>
    <row r="374" spans="1:11">
      <c r="A374" s="168">
        <v>360</v>
      </c>
      <c r="B374" s="171">
        <f t="shared" si="34"/>
        <v>2086.3886248806757</v>
      </c>
      <c r="C374" s="171">
        <f t="shared" si="35"/>
        <v>12.100016880003921</v>
      </c>
      <c r="D374" s="171">
        <f t="shared" si="36"/>
        <v>2074.288608000672</v>
      </c>
      <c r="E374" s="169">
        <f t="shared" si="37"/>
        <v>0</v>
      </c>
      <c r="F374" s="169"/>
      <c r="G374" s="170">
        <f t="shared" si="38"/>
        <v>0</v>
      </c>
      <c r="H374" s="182">
        <f>SUM(D363:D374)</f>
        <v>24112.643996983894</v>
      </c>
      <c r="I374">
        <f>A374/12</f>
        <v>30</v>
      </c>
    </row>
    <row r="376" spans="1:11">
      <c r="K376" s="164"/>
    </row>
  </sheetData>
  <sheetProtection sheet="1" objects="1" scenarios="1"/>
  <conditionalFormatting sqref="A15:G374">
    <cfRule type="expression" dxfId="5" priority="1" stopIfTrue="1">
      <formula>ROUND($G14,5)=0</formula>
    </cfRule>
    <cfRule type="expression" dxfId="4" priority="2" stopIfTrue="1">
      <formula>$A15&gt;($B$3*$B$5)</formula>
    </cfRule>
    <cfRule type="expression" dxfId="3" priority="3" stopIfTrue="1">
      <formula>ROUND($G15,5)=0</formula>
    </cfRule>
  </conditionalFormatting>
  <pageMargins left="0.7" right="0.7" top="0.75" bottom="0.75" header="0.3" footer="0.3"/>
  <ignoredErrors>
    <ignoredError sqref="E39 E51 E63 E75 E87 E99 E111 E123 E135" formula="1"/>
  </ignoredErrors>
  <drawing r:id="rId1"/>
  <legacyDrawing r:id="rId2"/>
  <mc:AlternateContent xmlns:mc="http://schemas.openxmlformats.org/markup-compatibility/2006">
    <mc:Choice Requires="x14">
      <controls>
        <mc:AlternateContent xmlns:mc="http://schemas.openxmlformats.org/markup-compatibility/2006">
          <mc:Choice Requires="x14">
            <control shapeId="5121" r:id="rId3" name="Scroll Bar 1">
              <controlPr defaultSize="0" autoPict="0">
                <anchor moveWithCells="1">
                  <from>
                    <xdr:col>9</xdr:col>
                    <xdr:colOff>0</xdr:colOff>
                    <xdr:row>29</xdr:row>
                    <xdr:rowOff>15240</xdr:rowOff>
                  </from>
                  <to>
                    <xdr:col>18</xdr:col>
                    <xdr:colOff>0</xdr:colOff>
                    <xdr:row>30</xdr:row>
                    <xdr:rowOff>60960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90D95-9B1B-4744-867E-AFB005E24C2D}">
  <dimension ref="A1:Q376"/>
  <sheetViews>
    <sheetView zoomScale="110" zoomScaleNormal="110" workbookViewId="0">
      <selection activeCell="B2" sqref="B2"/>
    </sheetView>
  </sheetViews>
  <sheetFormatPr defaultRowHeight="13.2"/>
  <cols>
    <col min="1" max="1" width="18.77734375" bestFit="1" customWidth="1"/>
    <col min="2" max="2" width="15.5546875" customWidth="1"/>
    <col min="3" max="3" width="12.77734375" customWidth="1"/>
    <col min="4" max="4" width="18.44140625" customWidth="1"/>
    <col min="5" max="5" width="16.44140625" bestFit="1" customWidth="1"/>
    <col min="6" max="6" width="4.77734375" customWidth="1"/>
    <col min="7" max="7" width="12.77734375" customWidth="1"/>
    <col min="8" max="8" width="18.21875" customWidth="1"/>
    <col min="9" max="9" width="9.77734375" bestFit="1" customWidth="1"/>
    <col min="12" max="12" width="10.21875" bestFit="1" customWidth="1"/>
    <col min="17" max="17" width="13.77734375" bestFit="1" customWidth="1"/>
  </cols>
  <sheetData>
    <row r="1" spans="1:17" ht="18" thickBot="1">
      <c r="A1" s="197" t="s">
        <v>70</v>
      </c>
      <c r="B1" s="198"/>
      <c r="C1" s="199"/>
      <c r="D1" s="199"/>
      <c r="E1" s="199"/>
      <c r="L1" s="157"/>
    </row>
    <row r="2" spans="1:17" ht="18">
      <c r="A2" s="211" t="s">
        <v>71</v>
      </c>
      <c r="B2" s="200">
        <f>'Analysis Worksheet'!F18</f>
        <v>20000</v>
      </c>
      <c r="C2" s="199"/>
      <c r="D2" s="196" t="s">
        <v>72</v>
      </c>
      <c r="E2" s="202">
        <f ca="1">MATCH(0,BalanceRange,0)-1</f>
        <v>360</v>
      </c>
      <c r="F2" s="159"/>
      <c r="H2" s="157">
        <f>B2*B4</f>
        <v>1000</v>
      </c>
      <c r="I2" s="335" t="s">
        <v>161</v>
      </c>
      <c r="K2" s="160"/>
      <c r="Q2" s="161"/>
    </row>
    <row r="3" spans="1:17" ht="18">
      <c r="A3" s="211" t="s">
        <v>73</v>
      </c>
      <c r="B3" s="203">
        <f>'Analysis Worksheet'!F20</f>
        <v>30</v>
      </c>
      <c r="C3" s="199"/>
      <c r="D3" s="196" t="s">
        <v>74</v>
      </c>
      <c r="E3" s="204">
        <f ca="1">SUM(OFFSET(BalanceRange,0,-3))</f>
        <v>19999.999999999982</v>
      </c>
      <c r="F3" s="162"/>
      <c r="H3" s="336">
        <f>B2*B4/12</f>
        <v>83.333333333333329</v>
      </c>
      <c r="I3" s="335" t="s">
        <v>162</v>
      </c>
      <c r="K3" s="163"/>
    </row>
    <row r="4" spans="1:17" ht="18">
      <c r="A4" s="211" t="s">
        <v>75</v>
      </c>
      <c r="B4" s="205">
        <f>'Analysis Worksheet'!F19</f>
        <v>0.05</v>
      </c>
      <c r="C4" s="199"/>
      <c r="D4" s="196" t="s">
        <v>76</v>
      </c>
      <c r="E4" s="204">
        <f ca="1">SUM(OFFSET(BalanceRange,0,-2))</f>
        <v>0</v>
      </c>
      <c r="F4" s="162"/>
      <c r="H4" s="164"/>
      <c r="K4" s="163"/>
    </row>
    <row r="5" spans="1:17" ht="18">
      <c r="A5" s="211" t="s">
        <v>77</v>
      </c>
      <c r="B5" s="203">
        <f>'Analysis Worksheet'!F21</f>
        <v>12</v>
      </c>
      <c r="C5" s="199"/>
      <c r="D5" s="196" t="s">
        <v>78</v>
      </c>
      <c r="E5" s="204">
        <f ca="1">SUM(OFFSET(BalanceRange,0,-1))</f>
        <v>0</v>
      </c>
      <c r="F5" s="162"/>
    </row>
    <row r="6" spans="1:17" ht="18">
      <c r="A6" s="211" t="s">
        <v>79</v>
      </c>
      <c r="B6" s="206">
        <f>PMT(B$4/B$5,B$3*B$5,-B$2)</f>
        <v>107.36432460242781</v>
      </c>
      <c r="C6" s="199"/>
      <c r="D6" s="196" t="s">
        <v>80</v>
      </c>
      <c r="E6" s="204">
        <f ca="1">SUM(E4:E5)</f>
        <v>0</v>
      </c>
      <c r="F6" s="162"/>
      <c r="K6" s="163"/>
    </row>
    <row r="7" spans="1:17" ht="18">
      <c r="A7" s="166" t="s">
        <v>81</v>
      </c>
      <c r="B7" s="207">
        <f>'Analysis Worksheet'!H59</f>
        <v>0</v>
      </c>
      <c r="C7" s="199"/>
      <c r="D7" s="196" t="s">
        <v>82</v>
      </c>
      <c r="E7" s="204">
        <f ca="1">SUM(E3:E5)</f>
        <v>19999.999999999982</v>
      </c>
      <c r="F7" s="162"/>
      <c r="K7" s="163"/>
      <c r="L7" s="192"/>
    </row>
    <row r="8" spans="1:17" ht="18">
      <c r="A8" s="211"/>
      <c r="B8" s="208"/>
      <c r="C8" s="199"/>
      <c r="D8" s="196" t="s">
        <v>83</v>
      </c>
      <c r="E8" s="204">
        <f ca="1">(B3*B5*B6-B2)-(E7-E6)</f>
        <v>-1348.8431431259705</v>
      </c>
      <c r="F8" s="162"/>
      <c r="K8" s="163"/>
    </row>
    <row r="9" spans="1:17" ht="18">
      <c r="A9" s="211" t="s">
        <v>84</v>
      </c>
      <c r="B9" s="209">
        <f ca="1">E2/12</f>
        <v>30</v>
      </c>
      <c r="C9" s="199"/>
      <c r="D9" s="201"/>
      <c r="E9" s="204"/>
      <c r="F9" s="162"/>
      <c r="K9" s="163"/>
      <c r="L9" s="192"/>
    </row>
    <row r="10" spans="1:17" ht="18">
      <c r="A10" s="158" t="s">
        <v>85</v>
      </c>
      <c r="B10" s="210">
        <f>ROUNDUP(NPER(B4/B5,B6+B7,-B2),0)/12</f>
        <v>30.083333333333332</v>
      </c>
      <c r="C10" s="199"/>
      <c r="D10" s="201"/>
      <c r="E10" s="204"/>
      <c r="F10" s="162"/>
      <c r="K10" s="163"/>
    </row>
    <row r="11" spans="1:17">
      <c r="B11" s="165"/>
      <c r="K11" s="163"/>
    </row>
    <row r="12" spans="1:17" ht="13.8" thickBot="1"/>
    <row r="13" spans="1:17" ht="14.4" thickBot="1">
      <c r="A13" s="167" t="s">
        <v>86</v>
      </c>
      <c r="B13" s="167" t="s">
        <v>79</v>
      </c>
      <c r="C13" s="167" t="s">
        <v>87</v>
      </c>
      <c r="D13" s="167" t="s">
        <v>88</v>
      </c>
      <c r="E13" s="167" t="s">
        <v>78</v>
      </c>
      <c r="F13" s="167"/>
      <c r="G13" s="167" t="s">
        <v>89</v>
      </c>
      <c r="H13" s="167" t="s">
        <v>90</v>
      </c>
    </row>
    <row r="14" spans="1:17">
      <c r="A14" s="168">
        <v>0</v>
      </c>
      <c r="B14" s="169"/>
      <c r="G14" s="170">
        <f>B2</f>
        <v>20000</v>
      </c>
    </row>
    <row r="15" spans="1:17">
      <c r="A15" s="168">
        <v>1</v>
      </c>
      <c r="B15" s="171">
        <f>IF($B$6&lt;=G14,$B$6,G14+G14*$B$4/$B$5)</f>
        <v>107.36432460242781</v>
      </c>
      <c r="C15" s="171">
        <f>IF(B15&gt;0,$B$4/$B$5*G14,0)</f>
        <v>83.333333333333329</v>
      </c>
      <c r="D15" s="171">
        <f>IF(B15&gt;0,MIN(B15-C15,G14),0)</f>
        <v>24.030991269094486</v>
      </c>
      <c r="E15" s="169">
        <f>IF(G14-D15&gt;=$B$7,$B$7,G14-D15)</f>
        <v>0</v>
      </c>
      <c r="F15" s="169"/>
      <c r="G15" s="170">
        <f>IF(ROUND(G14,5)&gt;0,G14-D15-E15,0)</f>
        <v>19975.969008730906</v>
      </c>
    </row>
    <row r="16" spans="1:17">
      <c r="A16" s="168">
        <v>2</v>
      </c>
      <c r="B16" s="171">
        <f t="shared" ref="B16:B79" si="0">IF($B$6&lt;=G15,$B$6,G15+G15*$B$4/$B$5)</f>
        <v>107.36432460242781</v>
      </c>
      <c r="C16" s="171">
        <f t="shared" ref="C16:C79" si="1">IF(B16&gt;0,$B$4/$B$5*G15,0)</f>
        <v>83.233204203045446</v>
      </c>
      <c r="D16" s="171">
        <f t="shared" ref="D16:D79" si="2">IF(B16&gt;0,MIN(B16-C16,G15),0)</f>
        <v>24.131120399382368</v>
      </c>
      <c r="E16" s="169">
        <f t="shared" ref="E16:E26" si="3">IF(G15-D16&gt;=$B$7,$B$7,G15-D16)</f>
        <v>0</v>
      </c>
      <c r="F16" s="169"/>
      <c r="G16" s="170">
        <f t="shared" ref="G16:G79" si="4">IF(ROUND(G15,5)&gt;0,G15-D16-E16,0)</f>
        <v>19951.837888331524</v>
      </c>
      <c r="K16" s="172"/>
      <c r="P16" s="173"/>
    </row>
    <row r="17" spans="1:13">
      <c r="A17" s="168">
        <v>3</v>
      </c>
      <c r="B17" s="171">
        <f t="shared" si="0"/>
        <v>107.36432460242781</v>
      </c>
      <c r="C17" s="171">
        <f t="shared" si="1"/>
        <v>83.132657868048014</v>
      </c>
      <c r="D17" s="171">
        <f t="shared" si="2"/>
        <v>24.2316667343798</v>
      </c>
      <c r="E17" s="169">
        <f t="shared" si="3"/>
        <v>0</v>
      </c>
      <c r="F17" s="169"/>
      <c r="G17" s="170">
        <f t="shared" si="4"/>
        <v>19927.606221597143</v>
      </c>
    </row>
    <row r="18" spans="1:13">
      <c r="A18" s="168">
        <v>4</v>
      </c>
      <c r="B18" s="171">
        <f t="shared" si="0"/>
        <v>107.36432460242781</v>
      </c>
      <c r="C18" s="171">
        <f t="shared" si="1"/>
        <v>83.031692589988097</v>
      </c>
      <c r="D18" s="171">
        <f t="shared" si="2"/>
        <v>24.332632012439717</v>
      </c>
      <c r="E18" s="169">
        <f t="shared" si="3"/>
        <v>0</v>
      </c>
      <c r="F18" s="169"/>
      <c r="G18" s="170">
        <f t="shared" si="4"/>
        <v>19903.273589584704</v>
      </c>
      <c r="M18" t="s">
        <v>91</v>
      </c>
    </row>
    <row r="19" spans="1:13">
      <c r="A19" s="168">
        <v>5</v>
      </c>
      <c r="B19" s="171">
        <f t="shared" si="0"/>
        <v>107.36432460242781</v>
      </c>
      <c r="C19" s="171">
        <f t="shared" si="1"/>
        <v>82.930306623269601</v>
      </c>
      <c r="D19" s="171">
        <f t="shared" si="2"/>
        <v>24.434017979158213</v>
      </c>
      <c r="E19" s="169">
        <f t="shared" si="3"/>
        <v>0</v>
      </c>
      <c r="F19" s="169"/>
      <c r="G19" s="170">
        <f t="shared" si="4"/>
        <v>19878.839571605546</v>
      </c>
    </row>
    <row r="20" spans="1:13">
      <c r="A20" s="168">
        <v>6</v>
      </c>
      <c r="B20" s="171">
        <f t="shared" si="0"/>
        <v>107.36432460242781</v>
      </c>
      <c r="C20" s="171">
        <f t="shared" si="1"/>
        <v>82.828498215023103</v>
      </c>
      <c r="D20" s="171">
        <f t="shared" si="2"/>
        <v>24.535826387404711</v>
      </c>
      <c r="E20" s="169">
        <f t="shared" si="3"/>
        <v>0</v>
      </c>
      <c r="F20" s="169"/>
      <c r="G20" s="170">
        <f t="shared" si="4"/>
        <v>19854.303745218142</v>
      </c>
    </row>
    <row r="21" spans="1:13">
      <c r="A21" s="168">
        <v>7</v>
      </c>
      <c r="B21" s="171">
        <f t="shared" si="0"/>
        <v>107.36432460242781</v>
      </c>
      <c r="C21" s="171">
        <f t="shared" si="1"/>
        <v>82.726265605075582</v>
      </c>
      <c r="D21" s="171">
        <f t="shared" si="2"/>
        <v>24.638058997352232</v>
      </c>
      <c r="E21" s="169">
        <f t="shared" si="3"/>
        <v>0</v>
      </c>
      <c r="F21" s="169"/>
      <c r="G21" s="170">
        <f t="shared" si="4"/>
        <v>19829.665686220789</v>
      </c>
    </row>
    <row r="22" spans="1:13">
      <c r="A22" s="168">
        <v>8</v>
      </c>
      <c r="B22" s="171">
        <f t="shared" si="0"/>
        <v>107.36432460242781</v>
      </c>
      <c r="C22" s="171">
        <f t="shared" si="1"/>
        <v>82.623607025919952</v>
      </c>
      <c r="D22" s="171">
        <f t="shared" si="2"/>
        <v>24.740717576507862</v>
      </c>
      <c r="E22" s="169">
        <f t="shared" si="3"/>
        <v>0</v>
      </c>
      <c r="F22" s="169"/>
      <c r="G22" s="170">
        <f t="shared" si="4"/>
        <v>19804.924968644282</v>
      </c>
    </row>
    <row r="23" spans="1:13">
      <c r="A23" s="168">
        <v>9</v>
      </c>
      <c r="B23" s="171">
        <f t="shared" si="0"/>
        <v>107.36432460242781</v>
      </c>
      <c r="C23" s="171">
        <f t="shared" si="1"/>
        <v>82.520520702684507</v>
      </c>
      <c r="D23" s="171">
        <f t="shared" si="2"/>
        <v>24.843803899743307</v>
      </c>
      <c r="E23" s="169">
        <f t="shared" si="3"/>
        <v>0</v>
      </c>
      <c r="F23" s="169"/>
      <c r="G23" s="170">
        <f t="shared" si="4"/>
        <v>19780.081164744537</v>
      </c>
    </row>
    <row r="24" spans="1:13">
      <c r="A24" s="168">
        <v>10</v>
      </c>
      <c r="B24" s="171">
        <f t="shared" si="0"/>
        <v>107.36432460242781</v>
      </c>
      <c r="C24" s="171">
        <f t="shared" si="1"/>
        <v>82.417004853102242</v>
      </c>
      <c r="D24" s="171">
        <f t="shared" si="2"/>
        <v>24.947319749325573</v>
      </c>
      <c r="E24" s="169">
        <f t="shared" si="3"/>
        <v>0</v>
      </c>
      <c r="F24" s="169"/>
      <c r="G24" s="170">
        <f t="shared" si="4"/>
        <v>19755.133844995213</v>
      </c>
    </row>
    <row r="25" spans="1:13">
      <c r="A25" s="168">
        <v>11</v>
      </c>
      <c r="B25" s="171">
        <f t="shared" si="0"/>
        <v>107.36432460242781</v>
      </c>
      <c r="C25" s="171">
        <f t="shared" si="1"/>
        <v>82.313057687480054</v>
      </c>
      <c r="D25" s="171">
        <f t="shared" si="2"/>
        <v>25.05126691494776</v>
      </c>
      <c r="E25" s="169">
        <f t="shared" si="3"/>
        <v>0</v>
      </c>
      <c r="F25" s="169"/>
      <c r="G25" s="170">
        <f t="shared" si="4"/>
        <v>19730.082578080266</v>
      </c>
    </row>
    <row r="26" spans="1:13" s="181" customFormat="1">
      <c r="A26" s="177">
        <v>12</v>
      </c>
      <c r="B26" s="178">
        <f t="shared" si="0"/>
        <v>107.36432460242781</v>
      </c>
      <c r="C26" s="178">
        <f t="shared" si="1"/>
        <v>82.208677408667768</v>
      </c>
      <c r="D26" s="178">
        <f t="shared" si="2"/>
        <v>25.155647193760046</v>
      </c>
      <c r="E26" s="179">
        <f t="shared" si="3"/>
        <v>0</v>
      </c>
      <c r="F26" s="179"/>
      <c r="G26" s="180">
        <f t="shared" si="4"/>
        <v>19704.926930886508</v>
      </c>
      <c r="H26" s="182">
        <f>SUM(D15:D26)</f>
        <v>295.07306911349605</v>
      </c>
    </row>
    <row r="27" spans="1:13" s="188" customFormat="1">
      <c r="A27" s="183">
        <v>13</v>
      </c>
      <c r="B27" s="184">
        <f t="shared" si="0"/>
        <v>107.36432460242781</v>
      </c>
      <c r="C27" s="184">
        <f t="shared" si="1"/>
        <v>82.10386221202711</v>
      </c>
      <c r="D27" s="184">
        <f t="shared" si="2"/>
        <v>25.260462390400704</v>
      </c>
      <c r="E27" s="185">
        <f>IF(G26-D27&gt;=$B$7,$B$7,G26-D27)+H27</f>
        <v>0</v>
      </c>
      <c r="F27" s="185"/>
      <c r="G27" s="186">
        <f t="shared" si="4"/>
        <v>19679.666468496107</v>
      </c>
      <c r="H27" s="187"/>
    </row>
    <row r="28" spans="1:13">
      <c r="A28" s="168">
        <v>14</v>
      </c>
      <c r="B28" s="171">
        <f t="shared" si="0"/>
        <v>107.36432460242781</v>
      </c>
      <c r="C28" s="171">
        <f t="shared" si="1"/>
        <v>81.998610285400446</v>
      </c>
      <c r="D28" s="171">
        <f t="shared" si="2"/>
        <v>25.365714317027368</v>
      </c>
      <c r="E28" s="169">
        <f>IF(G27-D28&gt;=$B$7,E27,G27-D28)</f>
        <v>0</v>
      </c>
      <c r="F28" s="169"/>
      <c r="G28" s="170">
        <f t="shared" si="4"/>
        <v>19654.300754179079</v>
      </c>
    </row>
    <row r="29" spans="1:13">
      <c r="A29" s="168">
        <v>15</v>
      </c>
      <c r="B29" s="171">
        <f t="shared" si="0"/>
        <v>107.36432460242781</v>
      </c>
      <c r="C29" s="171">
        <f t="shared" si="1"/>
        <v>81.892919809079501</v>
      </c>
      <c r="D29" s="171">
        <f t="shared" si="2"/>
        <v>25.471404793348313</v>
      </c>
      <c r="E29" s="169">
        <f t="shared" ref="E29:E38" si="5">IF(G28-D29&gt;=$B$7,E28,G28-D29)</f>
        <v>0</v>
      </c>
      <c r="F29" s="169"/>
      <c r="G29" s="170">
        <f t="shared" si="4"/>
        <v>19628.829349385731</v>
      </c>
    </row>
    <row r="30" spans="1:13">
      <c r="A30" s="168">
        <v>16</v>
      </c>
      <c r="B30" s="171">
        <f t="shared" si="0"/>
        <v>107.36432460242781</v>
      </c>
      <c r="C30" s="171">
        <f t="shared" si="1"/>
        <v>81.786788955773872</v>
      </c>
      <c r="D30" s="171">
        <f t="shared" si="2"/>
        <v>25.577535646653942</v>
      </c>
      <c r="E30" s="169">
        <f t="shared" si="5"/>
        <v>0</v>
      </c>
      <c r="F30" s="169"/>
      <c r="G30" s="170">
        <f t="shared" si="4"/>
        <v>19603.251813739076</v>
      </c>
    </row>
    <row r="31" spans="1:13">
      <c r="A31" s="168">
        <v>17</v>
      </c>
      <c r="B31" s="171">
        <f t="shared" si="0"/>
        <v>107.36432460242781</v>
      </c>
      <c r="C31" s="171">
        <f t="shared" si="1"/>
        <v>81.68021589057949</v>
      </c>
      <c r="D31" s="171">
        <f t="shared" si="2"/>
        <v>25.684108711848324</v>
      </c>
      <c r="E31" s="169">
        <f t="shared" si="5"/>
        <v>0</v>
      </c>
      <c r="F31" s="169"/>
      <c r="G31" s="170">
        <f t="shared" si="4"/>
        <v>19577.567705027228</v>
      </c>
    </row>
    <row r="32" spans="1:13" ht="13.8">
      <c r="A32" s="168">
        <v>18</v>
      </c>
      <c r="B32" s="171">
        <f t="shared" si="0"/>
        <v>107.36432460242781</v>
      </c>
      <c r="C32" s="171">
        <f t="shared" si="1"/>
        <v>81.573198770946789</v>
      </c>
      <c r="D32" s="171">
        <f t="shared" si="2"/>
        <v>25.791125831481025</v>
      </c>
      <c r="E32" s="169">
        <f t="shared" si="5"/>
        <v>0</v>
      </c>
      <c r="F32" s="169"/>
      <c r="G32" s="170">
        <f t="shared" si="4"/>
        <v>19551.776579195746</v>
      </c>
      <c r="J32" s="174"/>
    </row>
    <row r="33" spans="1:8">
      <c r="A33" s="168">
        <v>19</v>
      </c>
      <c r="B33" s="171">
        <f t="shared" si="0"/>
        <v>107.36432460242781</v>
      </c>
      <c r="C33" s="171">
        <f t="shared" si="1"/>
        <v>81.465735746648946</v>
      </c>
      <c r="D33" s="171">
        <f t="shared" si="2"/>
        <v>25.898588855778868</v>
      </c>
      <c r="E33" s="169">
        <f t="shared" si="5"/>
        <v>0</v>
      </c>
      <c r="F33" s="169"/>
      <c r="G33" s="170">
        <f t="shared" si="4"/>
        <v>19525.877990339966</v>
      </c>
    </row>
    <row r="34" spans="1:8">
      <c r="A34" s="168">
        <v>20</v>
      </c>
      <c r="B34" s="171">
        <f t="shared" si="0"/>
        <v>107.36432460242781</v>
      </c>
      <c r="C34" s="171">
        <f t="shared" si="1"/>
        <v>81.357824959749863</v>
      </c>
      <c r="D34" s="171">
        <f t="shared" si="2"/>
        <v>26.006499642677952</v>
      </c>
      <c r="E34" s="169">
        <f t="shared" si="5"/>
        <v>0</v>
      </c>
      <c r="F34" s="169"/>
      <c r="G34" s="170">
        <f t="shared" si="4"/>
        <v>19499.871490697289</v>
      </c>
    </row>
    <row r="35" spans="1:8">
      <c r="A35" s="168">
        <v>21</v>
      </c>
      <c r="B35" s="171">
        <f t="shared" si="0"/>
        <v>107.36432460242781</v>
      </c>
      <c r="C35" s="171">
        <f t="shared" si="1"/>
        <v>81.249464544572035</v>
      </c>
      <c r="D35" s="171">
        <f t="shared" si="2"/>
        <v>26.114860057855779</v>
      </c>
      <c r="E35" s="169">
        <f t="shared" si="5"/>
        <v>0</v>
      </c>
      <c r="F35" s="169"/>
      <c r="G35" s="170">
        <f t="shared" si="4"/>
        <v>19473.756630639433</v>
      </c>
    </row>
    <row r="36" spans="1:8">
      <c r="A36" s="168">
        <v>22</v>
      </c>
      <c r="B36" s="171">
        <f t="shared" si="0"/>
        <v>107.36432460242781</v>
      </c>
      <c r="C36" s="171">
        <f t="shared" si="1"/>
        <v>81.140652627664309</v>
      </c>
      <c r="D36" s="171">
        <f t="shared" si="2"/>
        <v>26.223671974763505</v>
      </c>
      <c r="E36" s="169">
        <f t="shared" si="5"/>
        <v>0</v>
      </c>
      <c r="F36" s="169"/>
      <c r="G36" s="170">
        <f t="shared" si="4"/>
        <v>19447.532958664669</v>
      </c>
    </row>
    <row r="37" spans="1:8">
      <c r="A37" s="168">
        <v>23</v>
      </c>
      <c r="B37" s="171">
        <f t="shared" si="0"/>
        <v>107.36432460242781</v>
      </c>
      <c r="C37" s="171">
        <f t="shared" si="1"/>
        <v>81.031387327769451</v>
      </c>
      <c r="D37" s="171">
        <f t="shared" si="2"/>
        <v>26.332937274658363</v>
      </c>
      <c r="E37" s="169">
        <f t="shared" si="5"/>
        <v>0</v>
      </c>
      <c r="F37" s="169"/>
      <c r="G37" s="170">
        <f t="shared" si="4"/>
        <v>19421.20002139001</v>
      </c>
    </row>
    <row r="38" spans="1:8" s="181" customFormat="1">
      <c r="A38" s="177">
        <v>24</v>
      </c>
      <c r="B38" s="178">
        <f t="shared" si="0"/>
        <v>107.36432460242781</v>
      </c>
      <c r="C38" s="178">
        <f t="shared" si="1"/>
        <v>80.921666755791705</v>
      </c>
      <c r="D38" s="178">
        <f t="shared" si="2"/>
        <v>26.442657846636109</v>
      </c>
      <c r="E38" s="179">
        <f t="shared" si="5"/>
        <v>0</v>
      </c>
      <c r="F38" s="179"/>
      <c r="G38" s="180">
        <f t="shared" si="4"/>
        <v>19394.757363543373</v>
      </c>
      <c r="H38" s="182">
        <f>SUM(D27:D38)</f>
        <v>310.16956734313032</v>
      </c>
    </row>
    <row r="39" spans="1:8" s="188" customFormat="1">
      <c r="A39" s="183">
        <v>25</v>
      </c>
      <c r="B39" s="184">
        <f t="shared" si="0"/>
        <v>107.36432460242781</v>
      </c>
      <c r="C39" s="184">
        <f t="shared" si="1"/>
        <v>80.811489014764049</v>
      </c>
      <c r="D39" s="184">
        <f t="shared" si="2"/>
        <v>26.552835587663765</v>
      </c>
      <c r="E39" s="185">
        <f>IF(G38-D39&gt;=$B$7,$B$7,G38-D39)+H39</f>
        <v>0</v>
      </c>
      <c r="F39" s="185"/>
      <c r="G39" s="186">
        <f t="shared" si="4"/>
        <v>19368.20452795571</v>
      </c>
      <c r="H39" s="187"/>
    </row>
    <row r="40" spans="1:8">
      <c r="A40" s="168">
        <v>26</v>
      </c>
      <c r="B40" s="171">
        <f t="shared" si="0"/>
        <v>107.36432460242781</v>
      </c>
      <c r="C40" s="171">
        <f t="shared" si="1"/>
        <v>80.700852199815458</v>
      </c>
      <c r="D40" s="171">
        <f t="shared" si="2"/>
        <v>26.663472402612356</v>
      </c>
      <c r="E40" s="169">
        <f>IF(G39-D40&gt;=$B$7,E39,G39-D40)</f>
        <v>0</v>
      </c>
      <c r="F40" s="169"/>
      <c r="G40" s="170">
        <f t="shared" si="4"/>
        <v>19341.541055553098</v>
      </c>
    </row>
    <row r="41" spans="1:8">
      <c r="A41" s="168">
        <v>27</v>
      </c>
      <c r="B41" s="171">
        <f t="shared" si="0"/>
        <v>107.36432460242781</v>
      </c>
      <c r="C41" s="171">
        <f t="shared" si="1"/>
        <v>80.589754398137913</v>
      </c>
      <c r="D41" s="171">
        <f t="shared" si="2"/>
        <v>26.774570204289901</v>
      </c>
      <c r="E41" s="169">
        <f t="shared" ref="E41:E50" si="6">IF(G40-D41&gt;=$B$7,E40,G40-D41)</f>
        <v>0</v>
      </c>
      <c r="F41" s="169"/>
      <c r="G41" s="170">
        <f t="shared" si="4"/>
        <v>19314.76648534881</v>
      </c>
    </row>
    <row r="42" spans="1:8">
      <c r="A42" s="168">
        <v>28</v>
      </c>
      <c r="B42" s="171">
        <f t="shared" si="0"/>
        <v>107.36432460242781</v>
      </c>
      <c r="C42" s="171">
        <f t="shared" si="1"/>
        <v>80.478193688953368</v>
      </c>
      <c r="D42" s="171">
        <f t="shared" si="2"/>
        <v>26.886130913474446</v>
      </c>
      <c r="E42" s="169">
        <f t="shared" si="6"/>
        <v>0</v>
      </c>
      <c r="F42" s="169"/>
      <c r="G42" s="170">
        <f t="shared" si="4"/>
        <v>19287.880354435336</v>
      </c>
    </row>
    <row r="43" spans="1:8">
      <c r="A43" s="168">
        <v>29</v>
      </c>
      <c r="B43" s="171">
        <f t="shared" si="0"/>
        <v>107.36432460242781</v>
      </c>
      <c r="C43" s="171">
        <f t="shared" si="1"/>
        <v>80.366168143480564</v>
      </c>
      <c r="D43" s="171">
        <f t="shared" si="2"/>
        <v>26.99815645894725</v>
      </c>
      <c r="E43" s="169">
        <f t="shared" si="6"/>
        <v>0</v>
      </c>
      <c r="F43" s="169"/>
      <c r="G43" s="170">
        <f t="shared" si="4"/>
        <v>19260.882197976389</v>
      </c>
    </row>
    <row r="44" spans="1:8">
      <c r="A44" s="168">
        <v>30</v>
      </c>
      <c r="B44" s="171">
        <f t="shared" si="0"/>
        <v>107.36432460242781</v>
      </c>
      <c r="C44" s="171">
        <f t="shared" si="1"/>
        <v>80.25367582490162</v>
      </c>
      <c r="D44" s="171">
        <f t="shared" si="2"/>
        <v>27.110648777526194</v>
      </c>
      <c r="E44" s="169">
        <f t="shared" si="6"/>
        <v>0</v>
      </c>
      <c r="F44" s="169"/>
      <c r="G44" s="170">
        <f t="shared" si="4"/>
        <v>19233.771549198864</v>
      </c>
    </row>
    <row r="45" spans="1:8">
      <c r="A45" s="168">
        <v>31</v>
      </c>
      <c r="B45" s="171">
        <f t="shared" si="0"/>
        <v>107.36432460242781</v>
      </c>
      <c r="C45" s="171">
        <f t="shared" si="1"/>
        <v>80.140714788328594</v>
      </c>
      <c r="D45" s="171">
        <f t="shared" si="2"/>
        <v>27.22360981409922</v>
      </c>
      <c r="E45" s="169">
        <f t="shared" si="6"/>
        <v>0</v>
      </c>
      <c r="F45" s="169"/>
      <c r="G45" s="170">
        <f t="shared" si="4"/>
        <v>19206.547939384764</v>
      </c>
    </row>
    <row r="46" spans="1:8">
      <c r="A46" s="168">
        <v>32</v>
      </c>
      <c r="B46" s="171">
        <f t="shared" si="0"/>
        <v>107.36432460242781</v>
      </c>
      <c r="C46" s="171">
        <f t="shared" si="1"/>
        <v>80.027283080769848</v>
      </c>
      <c r="D46" s="171">
        <f t="shared" si="2"/>
        <v>27.337041521657966</v>
      </c>
      <c r="E46" s="169">
        <f t="shared" si="6"/>
        <v>0</v>
      </c>
      <c r="F46" s="169"/>
      <c r="G46" s="170">
        <f t="shared" si="4"/>
        <v>19179.210897863104</v>
      </c>
    </row>
    <row r="47" spans="1:8">
      <c r="A47" s="168">
        <v>33</v>
      </c>
      <c r="B47" s="171">
        <f t="shared" si="0"/>
        <v>107.36432460242781</v>
      </c>
      <c r="C47" s="171">
        <f t="shared" si="1"/>
        <v>79.913378741096267</v>
      </c>
      <c r="D47" s="171">
        <f t="shared" si="2"/>
        <v>27.450945861331547</v>
      </c>
      <c r="E47" s="169">
        <f t="shared" si="6"/>
        <v>0</v>
      </c>
      <c r="F47" s="169"/>
      <c r="G47" s="170">
        <f t="shared" si="4"/>
        <v>19151.759952001772</v>
      </c>
    </row>
    <row r="48" spans="1:8">
      <c r="A48" s="168">
        <v>34</v>
      </c>
      <c r="B48" s="171">
        <f t="shared" si="0"/>
        <v>107.36432460242781</v>
      </c>
      <c r="C48" s="171">
        <f t="shared" si="1"/>
        <v>79.79899980000738</v>
      </c>
      <c r="D48" s="171">
        <f t="shared" si="2"/>
        <v>27.565324802420434</v>
      </c>
      <c r="E48" s="169">
        <f t="shared" si="6"/>
        <v>0</v>
      </c>
      <c r="F48" s="169"/>
      <c r="G48" s="170">
        <f t="shared" si="4"/>
        <v>19124.194627199351</v>
      </c>
    </row>
    <row r="49" spans="1:8">
      <c r="A49" s="168">
        <v>35</v>
      </c>
      <c r="B49" s="171">
        <f t="shared" si="0"/>
        <v>107.36432460242781</v>
      </c>
      <c r="C49" s="171">
        <f t="shared" si="1"/>
        <v>79.684144279997298</v>
      </c>
      <c r="D49" s="171">
        <f t="shared" si="2"/>
        <v>27.680180322430516</v>
      </c>
      <c r="E49" s="169">
        <f t="shared" si="6"/>
        <v>0</v>
      </c>
      <c r="F49" s="169"/>
      <c r="G49" s="170">
        <f t="shared" si="4"/>
        <v>19096.514446876921</v>
      </c>
    </row>
    <row r="50" spans="1:8" s="181" customFormat="1">
      <c r="A50" s="177">
        <v>36</v>
      </c>
      <c r="B50" s="178">
        <f t="shared" si="0"/>
        <v>107.36432460242781</v>
      </c>
      <c r="C50" s="178">
        <f t="shared" si="1"/>
        <v>79.568810195320509</v>
      </c>
      <c r="D50" s="178">
        <f t="shared" si="2"/>
        <v>27.795514407107305</v>
      </c>
      <c r="E50" s="179">
        <f t="shared" si="6"/>
        <v>0</v>
      </c>
      <c r="F50" s="179"/>
      <c r="G50" s="180">
        <f t="shared" si="4"/>
        <v>19068.718932469816</v>
      </c>
      <c r="H50" s="182">
        <f>SUM(D39:D50)</f>
        <v>326.03843107356096</v>
      </c>
    </row>
    <row r="51" spans="1:8">
      <c r="A51" s="168">
        <v>37</v>
      </c>
      <c r="B51" s="189">
        <f t="shared" si="0"/>
        <v>107.36432460242781</v>
      </c>
      <c r="C51" s="189">
        <f t="shared" si="1"/>
        <v>79.452995551957571</v>
      </c>
      <c r="D51" s="189">
        <f t="shared" si="2"/>
        <v>27.911329050470243</v>
      </c>
      <c r="E51" s="190">
        <f>IF(G50-D51&gt;=$B$7,$B$7,G50-D51)+H51</f>
        <v>0</v>
      </c>
      <c r="F51" s="190"/>
      <c r="G51" s="191">
        <f t="shared" si="4"/>
        <v>19040.807603419344</v>
      </c>
      <c r="H51" s="157"/>
    </row>
    <row r="52" spans="1:8">
      <c r="A52" s="168">
        <v>38</v>
      </c>
      <c r="B52" s="171">
        <f t="shared" si="0"/>
        <v>107.36432460242781</v>
      </c>
      <c r="C52" s="171">
        <f t="shared" si="1"/>
        <v>79.336698347580594</v>
      </c>
      <c r="D52" s="171">
        <f t="shared" si="2"/>
        <v>28.02762625484722</v>
      </c>
      <c r="E52" s="169">
        <f>IF(G51-D52&gt;=$B$7,E51,G51-D52)</f>
        <v>0</v>
      </c>
      <c r="F52" s="169"/>
      <c r="G52" s="170">
        <f t="shared" si="4"/>
        <v>19012.779977164497</v>
      </c>
    </row>
    <row r="53" spans="1:8">
      <c r="A53" s="168">
        <v>39</v>
      </c>
      <c r="B53" s="171">
        <f t="shared" si="0"/>
        <v>107.36432460242781</v>
      </c>
      <c r="C53" s="171">
        <f t="shared" si="1"/>
        <v>79.219916571518738</v>
      </c>
      <c r="D53" s="171">
        <f t="shared" si="2"/>
        <v>28.144408030909077</v>
      </c>
      <c r="E53" s="169">
        <f t="shared" ref="E53:E62" si="7">IF(G52-D53&gt;=$B$7,E52,G52-D53)</f>
        <v>0</v>
      </c>
      <c r="F53" s="169"/>
      <c r="G53" s="170">
        <f t="shared" si="4"/>
        <v>18984.635569133588</v>
      </c>
    </row>
    <row r="54" spans="1:8">
      <c r="A54" s="168">
        <v>40</v>
      </c>
      <c r="B54" s="171">
        <f t="shared" si="0"/>
        <v>107.36432460242781</v>
      </c>
      <c r="C54" s="171">
        <f t="shared" si="1"/>
        <v>79.10264820472328</v>
      </c>
      <c r="D54" s="171">
        <f t="shared" si="2"/>
        <v>28.261676397704534</v>
      </c>
      <c r="E54" s="169">
        <f t="shared" si="7"/>
        <v>0</v>
      </c>
      <c r="F54" s="169"/>
      <c r="G54" s="170">
        <f t="shared" si="4"/>
        <v>18956.373892735883</v>
      </c>
    </row>
    <row r="55" spans="1:8">
      <c r="A55" s="168">
        <v>41</v>
      </c>
      <c r="B55" s="171">
        <f t="shared" si="0"/>
        <v>107.36432460242781</v>
      </c>
      <c r="C55" s="171">
        <f t="shared" si="1"/>
        <v>78.984891219732845</v>
      </c>
      <c r="D55" s="171">
        <f t="shared" si="2"/>
        <v>28.37943338269497</v>
      </c>
      <c r="E55" s="169">
        <f t="shared" si="7"/>
        <v>0</v>
      </c>
      <c r="F55" s="169"/>
      <c r="G55" s="170">
        <f t="shared" si="4"/>
        <v>18927.994459353187</v>
      </c>
    </row>
    <row r="56" spans="1:8">
      <c r="A56" s="168">
        <v>42</v>
      </c>
      <c r="B56" s="171">
        <f t="shared" si="0"/>
        <v>107.36432460242781</v>
      </c>
      <c r="C56" s="171">
        <f t="shared" si="1"/>
        <v>78.866643580638282</v>
      </c>
      <c r="D56" s="171">
        <f t="shared" si="2"/>
        <v>28.497681021789532</v>
      </c>
      <c r="E56" s="169">
        <f t="shared" si="7"/>
        <v>0</v>
      </c>
      <c r="F56" s="169"/>
      <c r="G56" s="170">
        <f t="shared" si="4"/>
        <v>18899.496778331399</v>
      </c>
    </row>
    <row r="57" spans="1:8">
      <c r="A57" s="168">
        <v>43</v>
      </c>
      <c r="B57" s="171">
        <f t="shared" si="0"/>
        <v>107.36432460242781</v>
      </c>
      <c r="C57" s="171">
        <f t="shared" si="1"/>
        <v>78.747903243047489</v>
      </c>
      <c r="D57" s="171">
        <f t="shared" si="2"/>
        <v>28.616421359380325</v>
      </c>
      <c r="E57" s="169">
        <f t="shared" si="7"/>
        <v>0</v>
      </c>
      <c r="F57" s="169"/>
      <c r="G57" s="170">
        <f t="shared" si="4"/>
        <v>18870.880356972018</v>
      </c>
    </row>
    <row r="58" spans="1:8">
      <c r="A58" s="168">
        <v>44</v>
      </c>
      <c r="B58" s="171">
        <f t="shared" si="0"/>
        <v>107.36432460242781</v>
      </c>
      <c r="C58" s="171">
        <f t="shared" si="1"/>
        <v>78.628668154050075</v>
      </c>
      <c r="D58" s="171">
        <f t="shared" si="2"/>
        <v>28.735656448377739</v>
      </c>
      <c r="E58" s="169">
        <f t="shared" si="7"/>
        <v>0</v>
      </c>
      <c r="F58" s="169"/>
      <c r="G58" s="170">
        <f t="shared" si="4"/>
        <v>18842.14470052364</v>
      </c>
    </row>
    <row r="59" spans="1:8">
      <c r="A59" s="168">
        <v>45</v>
      </c>
      <c r="B59" s="171">
        <f t="shared" si="0"/>
        <v>107.36432460242781</v>
      </c>
      <c r="C59" s="171">
        <f t="shared" si="1"/>
        <v>78.50893625218184</v>
      </c>
      <c r="D59" s="171">
        <f t="shared" si="2"/>
        <v>28.855388350245974</v>
      </c>
      <c r="E59" s="169">
        <f t="shared" si="7"/>
        <v>0</v>
      </c>
      <c r="F59" s="169"/>
      <c r="G59" s="170">
        <f t="shared" si="4"/>
        <v>18813.289312173394</v>
      </c>
    </row>
    <row r="60" spans="1:8">
      <c r="A60" s="168">
        <v>46</v>
      </c>
      <c r="B60" s="171">
        <f t="shared" si="0"/>
        <v>107.36432460242781</v>
      </c>
      <c r="C60" s="171">
        <f t="shared" si="1"/>
        <v>78.388705467389144</v>
      </c>
      <c r="D60" s="171">
        <f t="shared" si="2"/>
        <v>28.97561913503867</v>
      </c>
      <c r="E60" s="169">
        <f t="shared" si="7"/>
        <v>0</v>
      </c>
      <c r="F60" s="169"/>
      <c r="G60" s="170">
        <f t="shared" si="4"/>
        <v>18784.313693038355</v>
      </c>
    </row>
    <row r="61" spans="1:8">
      <c r="A61" s="168">
        <v>47</v>
      </c>
      <c r="B61" s="171">
        <f t="shared" si="0"/>
        <v>107.36432460242781</v>
      </c>
      <c r="C61" s="171">
        <f t="shared" si="1"/>
        <v>78.26797372099314</v>
      </c>
      <c r="D61" s="171">
        <f t="shared" si="2"/>
        <v>29.096350881434674</v>
      </c>
      <c r="E61" s="169">
        <f t="shared" si="7"/>
        <v>0</v>
      </c>
      <c r="F61" s="169"/>
      <c r="G61" s="170">
        <f t="shared" si="4"/>
        <v>18755.21734215692</v>
      </c>
    </row>
    <row r="62" spans="1:8" s="181" customFormat="1">
      <c r="A62" s="177">
        <v>48</v>
      </c>
      <c r="B62" s="178">
        <f t="shared" si="0"/>
        <v>107.36432460242781</v>
      </c>
      <c r="C62" s="178">
        <f t="shared" si="1"/>
        <v>78.146738925653835</v>
      </c>
      <c r="D62" s="178">
        <f t="shared" si="2"/>
        <v>29.217585676773979</v>
      </c>
      <c r="E62" s="179">
        <f t="shared" si="7"/>
        <v>0</v>
      </c>
      <c r="F62" s="179"/>
      <c r="G62" s="180">
        <f t="shared" si="4"/>
        <v>18725.999756480145</v>
      </c>
      <c r="H62" s="182">
        <f>SUM(D51:D62)</f>
        <v>342.71917598966695</v>
      </c>
    </row>
    <row r="63" spans="1:8" s="181" customFormat="1">
      <c r="A63" s="177">
        <v>49</v>
      </c>
      <c r="B63" s="178">
        <f t="shared" si="0"/>
        <v>107.36432460242781</v>
      </c>
      <c r="C63" s="178">
        <f t="shared" si="1"/>
        <v>78.024998985333937</v>
      </c>
      <c r="D63" s="178">
        <f t="shared" si="2"/>
        <v>29.339325617093877</v>
      </c>
      <c r="E63" s="178">
        <f>IF(G62-D63&gt;=$B$7,$B$7,G62-D63)+H63</f>
        <v>0</v>
      </c>
      <c r="F63" s="178"/>
      <c r="G63" s="180">
        <f t="shared" si="4"/>
        <v>18696.660430863052</v>
      </c>
      <c r="H63" s="182"/>
    </row>
    <row r="64" spans="1:8">
      <c r="A64" s="168">
        <v>50</v>
      </c>
      <c r="B64" s="171">
        <f t="shared" si="0"/>
        <v>107.36432460242781</v>
      </c>
      <c r="C64" s="171">
        <f t="shared" si="1"/>
        <v>77.902751795262716</v>
      </c>
      <c r="D64" s="171">
        <f t="shared" si="2"/>
        <v>29.461572807165098</v>
      </c>
      <c r="E64" s="169">
        <f>IF(G63-D64&gt;=$B$7,E63,G63-D64)</f>
        <v>0</v>
      </c>
      <c r="F64" s="169"/>
      <c r="G64" s="170">
        <f t="shared" si="4"/>
        <v>18667.198858055886</v>
      </c>
    </row>
    <row r="65" spans="1:8">
      <c r="A65" s="168">
        <v>51</v>
      </c>
      <c r="B65" s="171">
        <f t="shared" si="0"/>
        <v>107.36432460242781</v>
      </c>
      <c r="C65" s="171">
        <f t="shared" si="1"/>
        <v>77.779995241899528</v>
      </c>
      <c r="D65" s="171">
        <f t="shared" si="2"/>
        <v>29.584329360528287</v>
      </c>
      <c r="E65" s="169">
        <f t="shared" ref="E65:E74" si="8">IF(G64-D65&gt;=$B$7,E64,G64-D65)</f>
        <v>0</v>
      </c>
      <c r="F65" s="169"/>
      <c r="G65" s="170">
        <f t="shared" si="4"/>
        <v>18637.614528695358</v>
      </c>
    </row>
    <row r="66" spans="1:8">
      <c r="A66" s="168">
        <v>52</v>
      </c>
      <c r="B66" s="171">
        <f t="shared" si="0"/>
        <v>107.36432460242781</v>
      </c>
      <c r="C66" s="171">
        <f t="shared" si="1"/>
        <v>77.656727202897329</v>
      </c>
      <c r="D66" s="171">
        <f t="shared" si="2"/>
        <v>29.707597399530485</v>
      </c>
      <c r="E66" s="169">
        <f t="shared" si="8"/>
        <v>0</v>
      </c>
      <c r="F66" s="169"/>
      <c r="G66" s="170">
        <f t="shared" si="4"/>
        <v>18607.906931295827</v>
      </c>
    </row>
    <row r="67" spans="1:8">
      <c r="A67" s="168">
        <v>53</v>
      </c>
      <c r="B67" s="171">
        <f t="shared" si="0"/>
        <v>107.36432460242781</v>
      </c>
      <c r="C67" s="171">
        <f t="shared" si="1"/>
        <v>77.53294554706595</v>
      </c>
      <c r="D67" s="171">
        <f t="shared" si="2"/>
        <v>29.831379055361865</v>
      </c>
      <c r="E67" s="169">
        <f t="shared" si="8"/>
        <v>0</v>
      </c>
      <c r="F67" s="169"/>
      <c r="G67" s="170">
        <f t="shared" si="4"/>
        <v>18578.075552240465</v>
      </c>
    </row>
    <row r="68" spans="1:8">
      <c r="A68" s="168">
        <v>54</v>
      </c>
      <c r="B68" s="171">
        <f t="shared" si="0"/>
        <v>107.36432460242781</v>
      </c>
      <c r="C68" s="171">
        <f t="shared" si="1"/>
        <v>77.408648134335266</v>
      </c>
      <c r="D68" s="171">
        <f t="shared" si="2"/>
        <v>29.955676468092548</v>
      </c>
      <c r="E68" s="169">
        <f t="shared" si="8"/>
        <v>0</v>
      </c>
      <c r="F68" s="169"/>
      <c r="G68" s="170">
        <f t="shared" si="4"/>
        <v>18548.119875772372</v>
      </c>
    </row>
    <row r="69" spans="1:8">
      <c r="A69" s="168">
        <v>55</v>
      </c>
      <c r="B69" s="171">
        <f t="shared" si="0"/>
        <v>107.36432460242781</v>
      </c>
      <c r="C69" s="171">
        <f t="shared" si="1"/>
        <v>77.283832815718213</v>
      </c>
      <c r="D69" s="171">
        <f t="shared" si="2"/>
        <v>30.080491786709601</v>
      </c>
      <c r="E69" s="169">
        <f t="shared" si="8"/>
        <v>0</v>
      </c>
      <c r="F69" s="169"/>
      <c r="G69" s="170">
        <f t="shared" si="4"/>
        <v>18518.039383985662</v>
      </c>
    </row>
    <row r="70" spans="1:8">
      <c r="A70" s="168">
        <v>56</v>
      </c>
      <c r="B70" s="171">
        <f t="shared" si="0"/>
        <v>107.36432460242781</v>
      </c>
      <c r="C70" s="171">
        <f t="shared" si="1"/>
        <v>77.158497433273595</v>
      </c>
      <c r="D70" s="171">
        <f t="shared" si="2"/>
        <v>30.205827169154219</v>
      </c>
      <c r="E70" s="169">
        <f t="shared" si="8"/>
        <v>0</v>
      </c>
      <c r="F70" s="169"/>
      <c r="G70" s="170">
        <f t="shared" si="4"/>
        <v>18487.833556816509</v>
      </c>
    </row>
    <row r="71" spans="1:8">
      <c r="A71" s="168">
        <v>57</v>
      </c>
      <c r="B71" s="171">
        <f t="shared" si="0"/>
        <v>107.36432460242781</v>
      </c>
      <c r="C71" s="171">
        <f t="shared" si="1"/>
        <v>77.032639820068795</v>
      </c>
      <c r="D71" s="171">
        <f t="shared" si="2"/>
        <v>30.331684782359019</v>
      </c>
      <c r="E71" s="169">
        <f t="shared" si="8"/>
        <v>0</v>
      </c>
      <c r="F71" s="169"/>
      <c r="G71" s="170">
        <f t="shared" si="4"/>
        <v>18457.50187203415</v>
      </c>
    </row>
    <row r="72" spans="1:8">
      <c r="A72" s="168">
        <v>58</v>
      </c>
      <c r="B72" s="171">
        <f t="shared" si="0"/>
        <v>107.36432460242781</v>
      </c>
      <c r="C72" s="171">
        <f t="shared" si="1"/>
        <v>76.906257800142299</v>
      </c>
      <c r="D72" s="171">
        <f t="shared" si="2"/>
        <v>30.458066802285515</v>
      </c>
      <c r="E72" s="169">
        <f t="shared" si="8"/>
        <v>0</v>
      </c>
      <c r="F72" s="169"/>
      <c r="G72" s="170">
        <f t="shared" si="4"/>
        <v>18427.043805231864</v>
      </c>
    </row>
    <row r="73" spans="1:8">
      <c r="A73" s="168">
        <v>59</v>
      </c>
      <c r="B73" s="171">
        <f t="shared" si="0"/>
        <v>107.36432460242781</v>
      </c>
      <c r="C73" s="171">
        <f t="shared" si="1"/>
        <v>76.779349188466099</v>
      </c>
      <c r="D73" s="171">
        <f t="shared" si="2"/>
        <v>30.584975413961715</v>
      </c>
      <c r="E73" s="169">
        <f t="shared" si="8"/>
        <v>0</v>
      </c>
      <c r="F73" s="169"/>
      <c r="G73" s="170">
        <f t="shared" si="4"/>
        <v>18396.458829817904</v>
      </c>
    </row>
    <row r="74" spans="1:8" s="181" customFormat="1">
      <c r="A74" s="177">
        <v>60</v>
      </c>
      <c r="B74" s="178">
        <f t="shared" si="0"/>
        <v>107.36432460242781</v>
      </c>
      <c r="C74" s="178">
        <f t="shared" si="1"/>
        <v>76.651911790907931</v>
      </c>
      <c r="D74" s="178">
        <f t="shared" si="2"/>
        <v>30.712412811519883</v>
      </c>
      <c r="E74" s="179">
        <f t="shared" si="8"/>
        <v>0</v>
      </c>
      <c r="F74" s="179"/>
      <c r="G74" s="180">
        <f t="shared" si="4"/>
        <v>18365.746417006383</v>
      </c>
      <c r="H74" s="182">
        <f>SUM(D63:D74)</f>
        <v>360.25333947376208</v>
      </c>
    </row>
    <row r="75" spans="1:8" s="181" customFormat="1">
      <c r="A75" s="177">
        <v>61</v>
      </c>
      <c r="B75" s="178">
        <f t="shared" si="0"/>
        <v>107.36432460242781</v>
      </c>
      <c r="C75" s="178">
        <f t="shared" si="1"/>
        <v>76.523943404193261</v>
      </c>
      <c r="D75" s="178">
        <f t="shared" si="2"/>
        <v>30.840381198234553</v>
      </c>
      <c r="E75" s="178">
        <f>IF(G74-D75&gt;=$B$7,$B$7,G74-D75)+H75</f>
        <v>0</v>
      </c>
      <c r="F75" s="178"/>
      <c r="G75" s="180">
        <f t="shared" si="4"/>
        <v>18334.906035808148</v>
      </c>
      <c r="H75" s="182">
        <f>+H63+B8</f>
        <v>0</v>
      </c>
    </row>
    <row r="76" spans="1:8">
      <c r="A76" s="168">
        <v>62</v>
      </c>
      <c r="B76" s="171">
        <f t="shared" si="0"/>
        <v>107.36432460242781</v>
      </c>
      <c r="C76" s="171">
        <f t="shared" si="1"/>
        <v>76.395441815867287</v>
      </c>
      <c r="D76" s="171">
        <f t="shared" si="2"/>
        <v>30.968882786560528</v>
      </c>
      <c r="E76" s="169">
        <f>IF(G75-D76&gt;=$B$7,E75,G75-D76)</f>
        <v>0</v>
      </c>
      <c r="F76" s="169"/>
      <c r="G76" s="170">
        <f t="shared" si="4"/>
        <v>18303.937153021587</v>
      </c>
    </row>
    <row r="77" spans="1:8">
      <c r="A77" s="168">
        <v>63</v>
      </c>
      <c r="B77" s="171">
        <f t="shared" si="0"/>
        <v>107.36432460242781</v>
      </c>
      <c r="C77" s="171">
        <f t="shared" si="1"/>
        <v>76.266404804256609</v>
      </c>
      <c r="D77" s="171">
        <f t="shared" si="2"/>
        <v>31.097919798171205</v>
      </c>
      <c r="E77" s="169">
        <f t="shared" ref="E77:E86" si="9">IF(G76-D77&gt;=$B$7,E76,G76-D77)</f>
        <v>0</v>
      </c>
      <c r="F77" s="169"/>
      <c r="G77" s="170">
        <f t="shared" si="4"/>
        <v>18272.839233223414</v>
      </c>
    </row>
    <row r="78" spans="1:8">
      <c r="A78" s="168">
        <v>64</v>
      </c>
      <c r="B78" s="171">
        <f t="shared" si="0"/>
        <v>107.36432460242781</v>
      </c>
      <c r="C78" s="171">
        <f t="shared" si="1"/>
        <v>76.136830138430895</v>
      </c>
      <c r="D78" s="171">
        <f t="shared" si="2"/>
        <v>31.227494463996919</v>
      </c>
      <c r="E78" s="169">
        <f t="shared" si="9"/>
        <v>0</v>
      </c>
      <c r="F78" s="169"/>
      <c r="G78" s="170">
        <f t="shared" si="4"/>
        <v>18241.611738759417</v>
      </c>
    </row>
    <row r="79" spans="1:8">
      <c r="A79" s="168">
        <v>65</v>
      </c>
      <c r="B79" s="171">
        <f t="shared" si="0"/>
        <v>107.36432460242781</v>
      </c>
      <c r="C79" s="171">
        <f t="shared" si="1"/>
        <v>76.006715578164233</v>
      </c>
      <c r="D79" s="171">
        <f t="shared" si="2"/>
        <v>31.357609024263581</v>
      </c>
      <c r="E79" s="169">
        <f t="shared" si="9"/>
        <v>0</v>
      </c>
      <c r="F79" s="169"/>
      <c r="G79" s="170">
        <f t="shared" si="4"/>
        <v>18210.254129735153</v>
      </c>
    </row>
    <row r="80" spans="1:8">
      <c r="A80" s="168">
        <v>66</v>
      </c>
      <c r="B80" s="171">
        <f t="shared" ref="B80:B143" si="10">IF($B$6&lt;=G79,$B$6,G79+G79*$B$4/$B$5)</f>
        <v>107.36432460242781</v>
      </c>
      <c r="C80" s="171">
        <f t="shared" ref="C80:C143" si="11">IF(B80&gt;0,$B$4/$B$5*G79,0)</f>
        <v>75.876058873896469</v>
      </c>
      <c r="D80" s="171">
        <f t="shared" ref="D80:D143" si="12">IF(B80&gt;0,MIN(B80-C80,G79),0)</f>
        <v>31.488265728531346</v>
      </c>
      <c r="E80" s="169">
        <f t="shared" si="9"/>
        <v>0</v>
      </c>
      <c r="F80" s="169"/>
      <c r="G80" s="170">
        <f t="shared" ref="G80:G143" si="13">IF(ROUND(G79,5)&gt;0,G79-D80-E80,0)</f>
        <v>18178.765864006622</v>
      </c>
    </row>
    <row r="81" spans="1:8">
      <c r="A81" s="168">
        <v>67</v>
      </c>
      <c r="B81" s="171">
        <f t="shared" si="10"/>
        <v>107.36432460242781</v>
      </c>
      <c r="C81" s="171">
        <f t="shared" si="11"/>
        <v>75.744857766694253</v>
      </c>
      <c r="D81" s="171">
        <f t="shared" si="12"/>
        <v>31.619466835733562</v>
      </c>
      <c r="E81" s="169">
        <f t="shared" si="9"/>
        <v>0</v>
      </c>
      <c r="F81" s="169"/>
      <c r="G81" s="170">
        <f t="shared" si="13"/>
        <v>18147.146397170887</v>
      </c>
    </row>
    <row r="82" spans="1:8">
      <c r="A82" s="168">
        <v>68</v>
      </c>
      <c r="B82" s="171">
        <f t="shared" si="10"/>
        <v>107.36432460242781</v>
      </c>
      <c r="C82" s="171">
        <f t="shared" si="11"/>
        <v>75.613109988212031</v>
      </c>
      <c r="D82" s="171">
        <f t="shared" si="12"/>
        <v>31.751214614215783</v>
      </c>
      <c r="E82" s="169">
        <f t="shared" si="9"/>
        <v>0</v>
      </c>
      <c r="F82" s="169"/>
      <c r="G82" s="170">
        <f t="shared" si="13"/>
        <v>18115.395182556673</v>
      </c>
    </row>
    <row r="83" spans="1:8">
      <c r="A83" s="168">
        <v>69</v>
      </c>
      <c r="B83" s="171">
        <f t="shared" si="10"/>
        <v>107.36432460242781</v>
      </c>
      <c r="C83" s="171">
        <f t="shared" si="11"/>
        <v>75.480813260652809</v>
      </c>
      <c r="D83" s="171">
        <f t="shared" si="12"/>
        <v>31.883511341775005</v>
      </c>
      <c r="E83" s="169">
        <f t="shared" si="9"/>
        <v>0</v>
      </c>
      <c r="F83" s="169"/>
      <c r="G83" s="170">
        <f t="shared" si="13"/>
        <v>18083.511671214899</v>
      </c>
    </row>
    <row r="84" spans="1:8">
      <c r="A84" s="168">
        <v>70</v>
      </c>
      <c r="B84" s="171">
        <f t="shared" si="10"/>
        <v>107.36432460242781</v>
      </c>
      <c r="C84" s="171">
        <f t="shared" si="11"/>
        <v>75.347965296728745</v>
      </c>
      <c r="D84" s="171">
        <f t="shared" si="12"/>
        <v>32.016359305699069</v>
      </c>
      <c r="E84" s="169">
        <f t="shared" si="9"/>
        <v>0</v>
      </c>
      <c r="F84" s="169"/>
      <c r="G84" s="170">
        <f t="shared" si="13"/>
        <v>18051.495311909199</v>
      </c>
    </row>
    <row r="85" spans="1:8">
      <c r="A85" s="168">
        <v>71</v>
      </c>
      <c r="B85" s="171">
        <f t="shared" si="10"/>
        <v>107.36432460242781</v>
      </c>
      <c r="C85" s="171">
        <f t="shared" si="11"/>
        <v>75.214563799621658</v>
      </c>
      <c r="D85" s="171">
        <f t="shared" si="12"/>
        <v>32.149760802806156</v>
      </c>
      <c r="E85" s="169">
        <f t="shared" si="9"/>
        <v>0</v>
      </c>
      <c r="F85" s="169"/>
      <c r="G85" s="170">
        <f t="shared" si="13"/>
        <v>18019.345551106391</v>
      </c>
    </row>
    <row r="86" spans="1:8" s="181" customFormat="1">
      <c r="A86" s="177">
        <v>72</v>
      </c>
      <c r="B86" s="178">
        <f t="shared" si="10"/>
        <v>107.36432460242781</v>
      </c>
      <c r="C86" s="178">
        <f t="shared" si="11"/>
        <v>75.080606462943294</v>
      </c>
      <c r="D86" s="178">
        <f t="shared" si="12"/>
        <v>32.28371813948452</v>
      </c>
      <c r="E86" s="179">
        <f t="shared" si="9"/>
        <v>0</v>
      </c>
      <c r="F86" s="179"/>
      <c r="G86" s="180">
        <f t="shared" si="13"/>
        <v>17987.061832966905</v>
      </c>
      <c r="H86" s="182">
        <f>SUM(D75:D86)</f>
        <v>378.68458403947227</v>
      </c>
    </row>
    <row r="87" spans="1:8" s="181" customFormat="1">
      <c r="A87" s="177">
        <v>73</v>
      </c>
      <c r="B87" s="178">
        <f t="shared" si="10"/>
        <v>107.36432460242781</v>
      </c>
      <c r="C87" s="178">
        <f t="shared" si="11"/>
        <v>74.946090970695437</v>
      </c>
      <c r="D87" s="178">
        <f t="shared" si="12"/>
        <v>32.418233631732377</v>
      </c>
      <c r="E87" s="178">
        <f>IF(G86-D87&gt;=$B$7,$B$7,G86-D87)+H87</f>
        <v>0</v>
      </c>
      <c r="F87" s="178"/>
      <c r="G87" s="180">
        <f t="shared" si="13"/>
        <v>17954.643599335173</v>
      </c>
      <c r="H87" s="182">
        <f>H75+B8</f>
        <v>0</v>
      </c>
    </row>
    <row r="88" spans="1:8">
      <c r="A88" s="168">
        <v>74</v>
      </c>
      <c r="B88" s="171">
        <f t="shared" si="10"/>
        <v>107.36432460242781</v>
      </c>
      <c r="C88" s="171">
        <f t="shared" si="11"/>
        <v>74.81101499722989</v>
      </c>
      <c r="D88" s="171">
        <f t="shared" si="12"/>
        <v>32.553309605197924</v>
      </c>
      <c r="E88" s="169">
        <f>IF(G87-D88&gt;=$B$7,E87,G87-D88)</f>
        <v>0</v>
      </c>
      <c r="F88" s="169"/>
      <c r="G88" s="170">
        <f t="shared" si="13"/>
        <v>17922.090289729975</v>
      </c>
    </row>
    <row r="89" spans="1:8">
      <c r="A89" s="168">
        <v>75</v>
      </c>
      <c r="B89" s="171">
        <f t="shared" si="10"/>
        <v>107.36432460242781</v>
      </c>
      <c r="C89" s="171">
        <f t="shared" si="11"/>
        <v>74.675376207208231</v>
      </c>
      <c r="D89" s="171">
        <f t="shared" si="12"/>
        <v>32.688948395219583</v>
      </c>
      <c r="E89" s="169">
        <f t="shared" ref="E89:E98" si="14">IF(G88-D89&gt;=$B$7,E88,G88-D89)</f>
        <v>0</v>
      </c>
      <c r="F89" s="169"/>
      <c r="G89" s="170">
        <f t="shared" si="13"/>
        <v>17889.401341334757</v>
      </c>
    </row>
    <row r="90" spans="1:8">
      <c r="A90" s="168">
        <v>76</v>
      </c>
      <c r="B90" s="171">
        <f t="shared" si="10"/>
        <v>107.36432460242781</v>
      </c>
      <c r="C90" s="171">
        <f t="shared" si="11"/>
        <v>74.539172255561482</v>
      </c>
      <c r="D90" s="171">
        <f t="shared" si="12"/>
        <v>32.825152346866332</v>
      </c>
      <c r="E90" s="169">
        <f t="shared" si="14"/>
        <v>0</v>
      </c>
      <c r="F90" s="169"/>
      <c r="G90" s="170">
        <f t="shared" si="13"/>
        <v>17856.576188987889</v>
      </c>
    </row>
    <row r="91" spans="1:8">
      <c r="A91" s="168">
        <v>77</v>
      </c>
      <c r="B91" s="171">
        <f t="shared" si="10"/>
        <v>107.36432460242781</v>
      </c>
      <c r="C91" s="171">
        <f t="shared" si="11"/>
        <v>74.402400787449537</v>
      </c>
      <c r="D91" s="171">
        <f t="shared" si="12"/>
        <v>32.961923814978277</v>
      </c>
      <c r="E91" s="169">
        <f t="shared" si="14"/>
        <v>0</v>
      </c>
      <c r="F91" s="169"/>
      <c r="G91" s="170">
        <f t="shared" si="13"/>
        <v>17823.61426517291</v>
      </c>
    </row>
    <row r="92" spans="1:8">
      <c r="A92" s="168">
        <v>78</v>
      </c>
      <c r="B92" s="171">
        <f t="shared" si="10"/>
        <v>107.36432460242781</v>
      </c>
      <c r="C92" s="171">
        <f t="shared" si="11"/>
        <v>74.265059438220462</v>
      </c>
      <c r="D92" s="171">
        <f t="shared" si="12"/>
        <v>33.099265164207353</v>
      </c>
      <c r="E92" s="169">
        <f t="shared" si="14"/>
        <v>0</v>
      </c>
      <c r="F92" s="169"/>
      <c r="G92" s="170">
        <f t="shared" si="13"/>
        <v>17790.515000008701</v>
      </c>
    </row>
    <row r="93" spans="1:8">
      <c r="A93" s="168">
        <v>79</v>
      </c>
      <c r="B93" s="171">
        <f t="shared" si="10"/>
        <v>107.36432460242781</v>
      </c>
      <c r="C93" s="171">
        <f t="shared" si="11"/>
        <v>74.127145833369582</v>
      </c>
      <c r="D93" s="171">
        <f t="shared" si="12"/>
        <v>33.237178769058232</v>
      </c>
      <c r="E93" s="169">
        <f t="shared" si="14"/>
        <v>0</v>
      </c>
      <c r="F93" s="169"/>
      <c r="G93" s="170">
        <f t="shared" si="13"/>
        <v>17757.277821239644</v>
      </c>
    </row>
    <row r="94" spans="1:8">
      <c r="A94" s="168">
        <v>80</v>
      </c>
      <c r="B94" s="171">
        <f t="shared" si="10"/>
        <v>107.36432460242781</v>
      </c>
      <c r="C94" s="171">
        <f t="shared" si="11"/>
        <v>73.988657588498512</v>
      </c>
      <c r="D94" s="171">
        <f t="shared" si="12"/>
        <v>33.375667013929302</v>
      </c>
      <c r="E94" s="169">
        <f t="shared" si="14"/>
        <v>0</v>
      </c>
      <c r="F94" s="169"/>
      <c r="G94" s="170">
        <f t="shared" si="13"/>
        <v>17723.902154225714</v>
      </c>
    </row>
    <row r="95" spans="1:8">
      <c r="A95" s="168">
        <v>81</v>
      </c>
      <c r="B95" s="171">
        <f t="shared" si="10"/>
        <v>107.36432460242781</v>
      </c>
      <c r="C95" s="171">
        <f t="shared" si="11"/>
        <v>73.849592309273802</v>
      </c>
      <c r="D95" s="171">
        <f t="shared" si="12"/>
        <v>33.514732293154012</v>
      </c>
      <c r="E95" s="169">
        <f t="shared" si="14"/>
        <v>0</v>
      </c>
      <c r="F95" s="169"/>
      <c r="G95" s="170">
        <f t="shared" si="13"/>
        <v>17690.387421932559</v>
      </c>
    </row>
    <row r="96" spans="1:8">
      <c r="A96" s="168">
        <v>82</v>
      </c>
      <c r="B96" s="171">
        <f t="shared" si="10"/>
        <v>107.36432460242781</v>
      </c>
      <c r="C96" s="171">
        <f t="shared" si="11"/>
        <v>73.709947591385657</v>
      </c>
      <c r="D96" s="171">
        <f t="shared" si="12"/>
        <v>33.654377011042158</v>
      </c>
      <c r="E96" s="169">
        <f t="shared" si="14"/>
        <v>0</v>
      </c>
      <c r="F96" s="169"/>
      <c r="G96" s="170">
        <f t="shared" si="13"/>
        <v>17656.733044921515</v>
      </c>
    </row>
    <row r="97" spans="1:8">
      <c r="A97" s="168">
        <v>83</v>
      </c>
      <c r="B97" s="171">
        <f t="shared" si="10"/>
        <v>107.36432460242781</v>
      </c>
      <c r="C97" s="171">
        <f t="shared" si="11"/>
        <v>73.569721020506307</v>
      </c>
      <c r="D97" s="171">
        <f t="shared" si="12"/>
        <v>33.794603581921507</v>
      </c>
      <c r="E97" s="169">
        <f t="shared" si="14"/>
        <v>0</v>
      </c>
      <c r="F97" s="169"/>
      <c r="G97" s="170">
        <f t="shared" si="13"/>
        <v>17622.938441339593</v>
      </c>
    </row>
    <row r="98" spans="1:8" s="181" customFormat="1">
      <c r="A98" s="177">
        <v>84</v>
      </c>
      <c r="B98" s="178">
        <f t="shared" si="10"/>
        <v>107.36432460242781</v>
      </c>
      <c r="C98" s="178">
        <f t="shared" si="11"/>
        <v>73.428910172248308</v>
      </c>
      <c r="D98" s="178">
        <f t="shared" si="12"/>
        <v>33.935414430179506</v>
      </c>
      <c r="E98" s="179">
        <f t="shared" si="14"/>
        <v>0</v>
      </c>
      <c r="F98" s="179"/>
      <c r="G98" s="180">
        <f t="shared" si="13"/>
        <v>17589.003026909413</v>
      </c>
      <c r="H98" s="182">
        <f>SUM(D87:D98)</f>
        <v>398.05880605748649</v>
      </c>
    </row>
    <row r="99" spans="1:8" s="181" customFormat="1">
      <c r="A99" s="177">
        <v>85</v>
      </c>
      <c r="B99" s="178">
        <f t="shared" si="10"/>
        <v>107.36432460242781</v>
      </c>
      <c r="C99" s="178">
        <f t="shared" si="11"/>
        <v>73.287512612122555</v>
      </c>
      <c r="D99" s="178">
        <f t="shared" si="12"/>
        <v>34.076811990305259</v>
      </c>
      <c r="E99" s="178">
        <f>IF(G98-D99&gt;=$B$7,$B$7,G98-D99)+H99</f>
        <v>0</v>
      </c>
      <c r="F99" s="178"/>
      <c r="G99" s="180">
        <f t="shared" si="13"/>
        <v>17554.926214919109</v>
      </c>
      <c r="H99" s="182">
        <f>+H87+B8</f>
        <v>0</v>
      </c>
    </row>
    <row r="100" spans="1:8">
      <c r="A100" s="168">
        <v>86</v>
      </c>
      <c r="B100" s="171">
        <f t="shared" si="10"/>
        <v>107.36432460242781</v>
      </c>
      <c r="C100" s="171">
        <f t="shared" si="11"/>
        <v>73.145525895496291</v>
      </c>
      <c r="D100" s="171">
        <f t="shared" si="12"/>
        <v>34.218798706931523</v>
      </c>
      <c r="E100" s="169">
        <f>IF(G99-D100&gt;=$B$7,E99,G99-D100)</f>
        <v>0</v>
      </c>
      <c r="F100" s="169"/>
      <c r="G100" s="170">
        <f t="shared" si="13"/>
        <v>17520.707416212179</v>
      </c>
    </row>
    <row r="101" spans="1:8">
      <c r="A101" s="168">
        <v>87</v>
      </c>
      <c r="B101" s="171">
        <f t="shared" si="10"/>
        <v>107.36432460242781</v>
      </c>
      <c r="C101" s="171">
        <f t="shared" si="11"/>
        <v>73.002947567550748</v>
      </c>
      <c r="D101" s="171">
        <f t="shared" si="12"/>
        <v>34.361377034877066</v>
      </c>
      <c r="E101" s="169">
        <f t="shared" ref="E101:E110" si="15">IF(G100-D101&gt;=$B$7,E100,G100-D101)</f>
        <v>0</v>
      </c>
      <c r="F101" s="169"/>
      <c r="G101" s="170">
        <f t="shared" si="13"/>
        <v>17486.346039177301</v>
      </c>
    </row>
    <row r="102" spans="1:8">
      <c r="A102" s="168">
        <v>88</v>
      </c>
      <c r="B102" s="171">
        <f t="shared" si="10"/>
        <v>107.36432460242781</v>
      </c>
      <c r="C102" s="171">
        <f t="shared" si="11"/>
        <v>72.859775163238751</v>
      </c>
      <c r="D102" s="171">
        <f t="shared" si="12"/>
        <v>34.504549439189063</v>
      </c>
      <c r="E102" s="169">
        <f t="shared" si="15"/>
        <v>0</v>
      </c>
      <c r="F102" s="169"/>
      <c r="G102" s="170">
        <f t="shared" si="13"/>
        <v>17451.841489738112</v>
      </c>
    </row>
    <row r="103" spans="1:8">
      <c r="A103" s="168">
        <v>89</v>
      </c>
      <c r="B103" s="171">
        <f t="shared" si="10"/>
        <v>107.36432460242781</v>
      </c>
      <c r="C103" s="171">
        <f t="shared" si="11"/>
        <v>72.716006207242131</v>
      </c>
      <c r="D103" s="171">
        <f t="shared" si="12"/>
        <v>34.648318395185683</v>
      </c>
      <c r="E103" s="169">
        <f t="shared" si="15"/>
        <v>0</v>
      </c>
      <c r="F103" s="169"/>
      <c r="G103" s="170">
        <f t="shared" si="13"/>
        <v>17417.193171342926</v>
      </c>
    </row>
    <row r="104" spans="1:8">
      <c r="A104" s="168">
        <v>90</v>
      </c>
      <c r="B104" s="171">
        <f t="shared" si="10"/>
        <v>107.36432460242781</v>
      </c>
      <c r="C104" s="171">
        <f t="shared" si="11"/>
        <v>72.57163821392885</v>
      </c>
      <c r="D104" s="171">
        <f t="shared" si="12"/>
        <v>34.792686388498964</v>
      </c>
      <c r="E104" s="169">
        <f t="shared" si="15"/>
        <v>0</v>
      </c>
      <c r="F104" s="169"/>
      <c r="G104" s="170">
        <f t="shared" si="13"/>
        <v>17382.400484954425</v>
      </c>
    </row>
    <row r="105" spans="1:8">
      <c r="A105" s="168">
        <v>91</v>
      </c>
      <c r="B105" s="171">
        <f t="shared" si="10"/>
        <v>107.36432460242781</v>
      </c>
      <c r="C105" s="171">
        <f t="shared" si="11"/>
        <v>72.426668687310098</v>
      </c>
      <c r="D105" s="171">
        <f t="shared" si="12"/>
        <v>34.937655915117716</v>
      </c>
      <c r="E105" s="169">
        <f t="shared" si="15"/>
        <v>0</v>
      </c>
      <c r="F105" s="169"/>
      <c r="G105" s="170">
        <f t="shared" si="13"/>
        <v>17347.462829039308</v>
      </c>
    </row>
    <row r="106" spans="1:8">
      <c r="A106" s="168">
        <v>92</v>
      </c>
      <c r="B106" s="171">
        <f t="shared" si="10"/>
        <v>107.36432460242781</v>
      </c>
      <c r="C106" s="171">
        <f t="shared" si="11"/>
        <v>72.281095120997122</v>
      </c>
      <c r="D106" s="171">
        <f t="shared" si="12"/>
        <v>35.083229481430692</v>
      </c>
      <c r="E106" s="169">
        <f t="shared" si="15"/>
        <v>0</v>
      </c>
      <c r="F106" s="169"/>
      <c r="G106" s="170">
        <f t="shared" si="13"/>
        <v>17312.379599557877</v>
      </c>
    </row>
    <row r="107" spans="1:8">
      <c r="A107" s="168">
        <v>93</v>
      </c>
      <c r="B107" s="171">
        <f t="shared" si="10"/>
        <v>107.36432460242781</v>
      </c>
      <c r="C107" s="171">
        <f t="shared" si="11"/>
        <v>72.134914998157825</v>
      </c>
      <c r="D107" s="171">
        <f t="shared" si="12"/>
        <v>35.229409604269989</v>
      </c>
      <c r="E107" s="169">
        <f t="shared" si="15"/>
        <v>0</v>
      </c>
      <c r="F107" s="169"/>
      <c r="G107" s="170">
        <f t="shared" si="13"/>
        <v>17277.150189953605</v>
      </c>
    </row>
    <row r="108" spans="1:8">
      <c r="A108" s="168">
        <v>94</v>
      </c>
      <c r="B108" s="171">
        <f t="shared" si="10"/>
        <v>107.36432460242781</v>
      </c>
      <c r="C108" s="171">
        <f t="shared" si="11"/>
        <v>71.988125791473351</v>
      </c>
      <c r="D108" s="171">
        <f t="shared" si="12"/>
        <v>35.376198810954463</v>
      </c>
      <c r="E108" s="169">
        <f t="shared" si="15"/>
        <v>0</v>
      </c>
      <c r="F108" s="169"/>
      <c r="G108" s="170">
        <f t="shared" si="13"/>
        <v>17241.773991142651</v>
      </c>
    </row>
    <row r="109" spans="1:8">
      <c r="A109" s="168">
        <v>95</v>
      </c>
      <c r="B109" s="171">
        <f t="shared" si="10"/>
        <v>107.36432460242781</v>
      </c>
      <c r="C109" s="171">
        <f t="shared" si="11"/>
        <v>71.840724963094374</v>
      </c>
      <c r="D109" s="171">
        <f t="shared" si="12"/>
        <v>35.52359963933344</v>
      </c>
      <c r="E109" s="169">
        <f t="shared" si="15"/>
        <v>0</v>
      </c>
      <c r="F109" s="169"/>
      <c r="G109" s="170">
        <f t="shared" si="13"/>
        <v>17206.250391503316</v>
      </c>
    </row>
    <row r="110" spans="1:8" s="181" customFormat="1">
      <c r="A110" s="177">
        <v>96</v>
      </c>
      <c r="B110" s="178">
        <f t="shared" si="10"/>
        <v>107.36432460242781</v>
      </c>
      <c r="C110" s="178">
        <f t="shared" si="11"/>
        <v>71.692709964597142</v>
      </c>
      <c r="D110" s="178">
        <f t="shared" si="12"/>
        <v>35.671614637830672</v>
      </c>
      <c r="E110" s="179">
        <f t="shared" si="15"/>
        <v>0</v>
      </c>
      <c r="F110" s="179"/>
      <c r="G110" s="180">
        <f t="shared" si="13"/>
        <v>17170.578776865485</v>
      </c>
      <c r="H110" s="182">
        <f>SUM(D99:D110)</f>
        <v>418.42425004392453</v>
      </c>
    </row>
    <row r="111" spans="1:8" s="181" customFormat="1">
      <c r="A111" s="177">
        <v>97</v>
      </c>
      <c r="B111" s="178">
        <f t="shared" si="10"/>
        <v>107.36432460242781</v>
      </c>
      <c r="C111" s="178">
        <f t="shared" si="11"/>
        <v>71.544078236939512</v>
      </c>
      <c r="D111" s="178">
        <f t="shared" si="12"/>
        <v>35.820246365488302</v>
      </c>
      <c r="E111" s="178">
        <f>IF(G110-D111&gt;=$B$7,$B$7,G110-D111)+H111</f>
        <v>0</v>
      </c>
      <c r="F111" s="178"/>
      <c r="G111" s="180">
        <f t="shared" si="13"/>
        <v>17134.758530499996</v>
      </c>
      <c r="H111" s="182">
        <f>+B8+H99</f>
        <v>0</v>
      </c>
    </row>
    <row r="112" spans="1:8">
      <c r="A112" s="168">
        <v>98</v>
      </c>
      <c r="B112" s="171">
        <f t="shared" si="10"/>
        <v>107.36432460242781</v>
      </c>
      <c r="C112" s="171">
        <f t="shared" si="11"/>
        <v>71.394827210416651</v>
      </c>
      <c r="D112" s="171">
        <f t="shared" si="12"/>
        <v>35.969497392011164</v>
      </c>
      <c r="E112" s="169">
        <f>IF(G111-D112&gt;=$B$7,E111,G111-D112)</f>
        <v>0</v>
      </c>
      <c r="F112" s="169"/>
      <c r="G112" s="170">
        <f t="shared" si="13"/>
        <v>17098.789033107983</v>
      </c>
    </row>
    <row r="113" spans="1:8">
      <c r="A113" s="168">
        <v>99</v>
      </c>
      <c r="B113" s="171">
        <f t="shared" si="10"/>
        <v>107.36432460242781</v>
      </c>
      <c r="C113" s="171">
        <f t="shared" si="11"/>
        <v>71.244954304616599</v>
      </c>
      <c r="D113" s="171">
        <f t="shared" si="12"/>
        <v>36.119370297811216</v>
      </c>
      <c r="E113" s="169">
        <f t="shared" ref="E113:E122" si="16">IF(G112-D113&gt;=$B$7,E112,G112-D113)</f>
        <v>0</v>
      </c>
      <c r="F113" s="169"/>
      <c r="G113" s="170">
        <f t="shared" si="13"/>
        <v>17062.669662810171</v>
      </c>
    </row>
    <row r="114" spans="1:8">
      <c r="A114" s="168">
        <v>100</v>
      </c>
      <c r="B114" s="171">
        <f t="shared" si="10"/>
        <v>107.36432460242781</v>
      </c>
      <c r="C114" s="171">
        <f t="shared" si="11"/>
        <v>71.094456928375706</v>
      </c>
      <c r="D114" s="171">
        <f t="shared" si="12"/>
        <v>36.269867674052108</v>
      </c>
      <c r="E114" s="169">
        <f t="shared" si="16"/>
        <v>0</v>
      </c>
      <c r="F114" s="169"/>
      <c r="G114" s="170">
        <f t="shared" si="13"/>
        <v>17026.39979513612</v>
      </c>
    </row>
    <row r="115" spans="1:8">
      <c r="A115" s="168">
        <v>101</v>
      </c>
      <c r="B115" s="171">
        <f t="shared" si="10"/>
        <v>107.36432460242781</v>
      </c>
      <c r="C115" s="171">
        <f t="shared" si="11"/>
        <v>70.943332479733826</v>
      </c>
      <c r="D115" s="171">
        <f t="shared" si="12"/>
        <v>36.420992122693988</v>
      </c>
      <c r="E115" s="169">
        <f t="shared" si="16"/>
        <v>0</v>
      </c>
      <c r="F115" s="169"/>
      <c r="G115" s="170">
        <f t="shared" si="13"/>
        <v>16989.978803013426</v>
      </c>
    </row>
    <row r="116" spans="1:8">
      <c r="A116" s="168">
        <v>102</v>
      </c>
      <c r="B116" s="171">
        <f t="shared" si="10"/>
        <v>107.36432460242781</v>
      </c>
      <c r="C116" s="171">
        <f t="shared" si="11"/>
        <v>70.791578345889278</v>
      </c>
      <c r="D116" s="171">
        <f t="shared" si="12"/>
        <v>36.572746256538537</v>
      </c>
      <c r="E116" s="169">
        <f t="shared" si="16"/>
        <v>0</v>
      </c>
      <c r="F116" s="169"/>
      <c r="G116" s="170">
        <f t="shared" si="13"/>
        <v>16953.406056756889</v>
      </c>
    </row>
    <row r="117" spans="1:8">
      <c r="A117" s="168">
        <v>103</v>
      </c>
      <c r="B117" s="171">
        <f t="shared" si="10"/>
        <v>107.36432460242781</v>
      </c>
      <c r="C117" s="171">
        <f t="shared" si="11"/>
        <v>70.639191903153701</v>
      </c>
      <c r="D117" s="171">
        <f t="shared" si="12"/>
        <v>36.725132699274113</v>
      </c>
      <c r="E117" s="169">
        <f t="shared" si="16"/>
        <v>0</v>
      </c>
      <c r="F117" s="169"/>
      <c r="G117" s="170">
        <f t="shared" si="13"/>
        <v>16916.680924057615</v>
      </c>
    </row>
    <row r="118" spans="1:8">
      <c r="A118" s="168">
        <v>104</v>
      </c>
      <c r="B118" s="171">
        <f t="shared" si="10"/>
        <v>107.36432460242781</v>
      </c>
      <c r="C118" s="171">
        <f t="shared" si="11"/>
        <v>70.486170516906725</v>
      </c>
      <c r="D118" s="171">
        <f t="shared" si="12"/>
        <v>36.878154085521089</v>
      </c>
      <c r="E118" s="169">
        <f t="shared" si="16"/>
        <v>0</v>
      </c>
      <c r="F118" s="169"/>
      <c r="G118" s="170">
        <f t="shared" si="13"/>
        <v>16879.802769972095</v>
      </c>
    </row>
    <row r="119" spans="1:8">
      <c r="A119" s="168">
        <v>105</v>
      </c>
      <c r="B119" s="171">
        <f t="shared" si="10"/>
        <v>107.36432460242781</v>
      </c>
      <c r="C119" s="171">
        <f t="shared" si="11"/>
        <v>70.332511541550389</v>
      </c>
      <c r="D119" s="171">
        <f t="shared" si="12"/>
        <v>37.031813060877425</v>
      </c>
      <c r="E119" s="169">
        <f t="shared" si="16"/>
        <v>0</v>
      </c>
      <c r="F119" s="169"/>
      <c r="G119" s="170">
        <f t="shared" si="13"/>
        <v>16842.770956911219</v>
      </c>
    </row>
    <row r="120" spans="1:8">
      <c r="A120" s="168">
        <v>106</v>
      </c>
      <c r="B120" s="171">
        <f t="shared" si="10"/>
        <v>107.36432460242781</v>
      </c>
      <c r="C120" s="171">
        <f t="shared" si="11"/>
        <v>70.178212320463416</v>
      </c>
      <c r="D120" s="171">
        <f t="shared" si="12"/>
        <v>37.186112281964398</v>
      </c>
      <c r="E120" s="169">
        <f t="shared" si="16"/>
        <v>0</v>
      </c>
      <c r="F120" s="169"/>
      <c r="G120" s="170">
        <f t="shared" si="13"/>
        <v>16805.584844629255</v>
      </c>
    </row>
    <row r="121" spans="1:8">
      <c r="A121" s="168">
        <v>107</v>
      </c>
      <c r="B121" s="171">
        <f t="shared" si="10"/>
        <v>107.36432460242781</v>
      </c>
      <c r="C121" s="171">
        <f t="shared" si="11"/>
        <v>70.023270185955226</v>
      </c>
      <c r="D121" s="171">
        <f t="shared" si="12"/>
        <v>37.341054416472588</v>
      </c>
      <c r="E121" s="169">
        <f t="shared" si="16"/>
        <v>0</v>
      </c>
      <c r="F121" s="169"/>
      <c r="G121" s="170">
        <f t="shared" si="13"/>
        <v>16768.243790212782</v>
      </c>
    </row>
    <row r="122" spans="1:8">
      <c r="A122" s="168">
        <v>108</v>
      </c>
      <c r="B122" s="171">
        <f t="shared" si="10"/>
        <v>107.36432460242781</v>
      </c>
      <c r="C122" s="171">
        <f t="shared" si="11"/>
        <v>69.867682459219921</v>
      </c>
      <c r="D122" s="171">
        <f t="shared" si="12"/>
        <v>37.496642143207893</v>
      </c>
      <c r="E122" s="169">
        <f t="shared" si="16"/>
        <v>0</v>
      </c>
      <c r="F122" s="169"/>
      <c r="G122" s="170">
        <f t="shared" si="13"/>
        <v>16730.747148069575</v>
      </c>
      <c r="H122" s="182">
        <f>SUM(D111:D122)</f>
        <v>439.83162879591288</v>
      </c>
    </row>
    <row r="123" spans="1:8">
      <c r="A123" s="168">
        <v>109</v>
      </c>
      <c r="B123" s="189">
        <f t="shared" si="10"/>
        <v>107.36432460242781</v>
      </c>
      <c r="C123" s="189">
        <f t="shared" si="11"/>
        <v>69.711446450289898</v>
      </c>
      <c r="D123" s="189">
        <f t="shared" si="12"/>
        <v>37.652878152137916</v>
      </c>
      <c r="E123" s="189">
        <f>IF(G122-D123&gt;=$B$7,$B$7,G122-D123)+H123</f>
        <v>0</v>
      </c>
      <c r="F123" s="189"/>
      <c r="G123" s="191">
        <f t="shared" si="13"/>
        <v>16693.094269917437</v>
      </c>
      <c r="H123" s="157"/>
    </row>
    <row r="124" spans="1:8">
      <c r="A124" s="168">
        <v>110</v>
      </c>
      <c r="B124" s="171">
        <f t="shared" si="10"/>
        <v>107.36432460242781</v>
      </c>
      <c r="C124" s="171">
        <f t="shared" si="11"/>
        <v>69.554559457989328</v>
      </c>
      <c r="D124" s="171">
        <f t="shared" si="12"/>
        <v>37.809765144438487</v>
      </c>
      <c r="E124" s="169">
        <f>IF(G123-D124&gt;=$B$7,E123,G123-D124)</f>
        <v>0</v>
      </c>
      <c r="F124" s="169"/>
      <c r="G124" s="170">
        <f t="shared" si="13"/>
        <v>16655.284504773001</v>
      </c>
    </row>
    <row r="125" spans="1:8">
      <c r="A125" s="168">
        <v>111</v>
      </c>
      <c r="B125" s="171">
        <f t="shared" si="10"/>
        <v>107.36432460242781</v>
      </c>
      <c r="C125" s="171">
        <f t="shared" si="11"/>
        <v>69.397018769887495</v>
      </c>
      <c r="D125" s="171">
        <f t="shared" si="12"/>
        <v>37.967305832540319</v>
      </c>
      <c r="E125" s="169">
        <f t="shared" ref="E125:E134" si="17">IF(G124-D125&gt;=$B$7,E124,G124-D125)</f>
        <v>0</v>
      </c>
      <c r="F125" s="169"/>
      <c r="G125" s="170">
        <f t="shared" si="13"/>
        <v>16617.317198940462</v>
      </c>
    </row>
    <row r="126" spans="1:8">
      <c r="A126" s="168">
        <v>112</v>
      </c>
      <c r="B126" s="171">
        <f t="shared" si="10"/>
        <v>107.36432460242781</v>
      </c>
      <c r="C126" s="171">
        <f t="shared" si="11"/>
        <v>69.238821662251922</v>
      </c>
      <c r="D126" s="171">
        <f t="shared" si="12"/>
        <v>38.125502940175892</v>
      </c>
      <c r="E126" s="169">
        <f t="shared" si="17"/>
        <v>0</v>
      </c>
      <c r="F126" s="169"/>
      <c r="G126" s="170">
        <f t="shared" si="13"/>
        <v>16579.191696000285</v>
      </c>
    </row>
    <row r="127" spans="1:8">
      <c r="A127" s="168">
        <v>113</v>
      </c>
      <c r="B127" s="171">
        <f t="shared" si="10"/>
        <v>107.36432460242781</v>
      </c>
      <c r="C127" s="171">
        <f t="shared" si="11"/>
        <v>69.079965400001186</v>
      </c>
      <c r="D127" s="171">
        <f t="shared" si="12"/>
        <v>38.284359202426629</v>
      </c>
      <c r="E127" s="169">
        <f t="shared" si="17"/>
        <v>0</v>
      </c>
      <c r="F127" s="169"/>
      <c r="G127" s="170">
        <f t="shared" si="13"/>
        <v>16540.90733679786</v>
      </c>
    </row>
    <row r="128" spans="1:8">
      <c r="A128" s="168">
        <v>114</v>
      </c>
      <c r="B128" s="171">
        <f t="shared" si="10"/>
        <v>107.36432460242781</v>
      </c>
      <c r="C128" s="171">
        <f t="shared" si="11"/>
        <v>68.920447236657751</v>
      </c>
      <c r="D128" s="171">
        <f t="shared" si="12"/>
        <v>38.443877365770064</v>
      </c>
      <c r="E128" s="169">
        <f t="shared" si="17"/>
        <v>0</v>
      </c>
      <c r="F128" s="169"/>
      <c r="G128" s="170">
        <f t="shared" si="13"/>
        <v>16502.463459432089</v>
      </c>
    </row>
    <row r="129" spans="1:8">
      <c r="A129" s="168">
        <v>115</v>
      </c>
      <c r="B129" s="171">
        <f t="shared" si="10"/>
        <v>107.36432460242781</v>
      </c>
      <c r="C129" s="171">
        <f t="shared" si="11"/>
        <v>68.760264414300366</v>
      </c>
      <c r="D129" s="171">
        <f t="shared" si="12"/>
        <v>38.604060188127448</v>
      </c>
      <c r="E129" s="169">
        <f t="shared" si="17"/>
        <v>0</v>
      </c>
      <c r="F129" s="169"/>
      <c r="G129" s="170">
        <f t="shared" si="13"/>
        <v>16463.85939924396</v>
      </c>
    </row>
    <row r="130" spans="1:8">
      <c r="A130" s="168">
        <v>116</v>
      </c>
      <c r="B130" s="171">
        <f t="shared" si="10"/>
        <v>107.36432460242781</v>
      </c>
      <c r="C130" s="171">
        <f t="shared" si="11"/>
        <v>68.599414163516499</v>
      </c>
      <c r="D130" s="171">
        <f t="shared" si="12"/>
        <v>38.764910438911315</v>
      </c>
      <c r="E130" s="169">
        <f t="shared" si="17"/>
        <v>0</v>
      </c>
      <c r="F130" s="169"/>
      <c r="G130" s="170">
        <f t="shared" si="13"/>
        <v>16425.094488805047</v>
      </c>
    </row>
    <row r="131" spans="1:8">
      <c r="A131" s="168">
        <v>117</v>
      </c>
      <c r="B131" s="171">
        <f t="shared" si="10"/>
        <v>107.36432460242781</v>
      </c>
      <c r="C131" s="171">
        <f t="shared" si="11"/>
        <v>68.437893703354362</v>
      </c>
      <c r="D131" s="171">
        <f t="shared" si="12"/>
        <v>38.926430899073452</v>
      </c>
      <c r="E131" s="169">
        <f t="shared" si="17"/>
        <v>0</v>
      </c>
      <c r="F131" s="169"/>
      <c r="G131" s="170">
        <f t="shared" si="13"/>
        <v>16386.168057905972</v>
      </c>
    </row>
    <row r="132" spans="1:8">
      <c r="A132" s="168">
        <v>118</v>
      </c>
      <c r="B132" s="171">
        <f t="shared" si="10"/>
        <v>107.36432460242781</v>
      </c>
      <c r="C132" s="171">
        <f t="shared" si="11"/>
        <v>68.275700241274876</v>
      </c>
      <c r="D132" s="171">
        <f t="shared" si="12"/>
        <v>39.088624361152938</v>
      </c>
      <c r="E132" s="169">
        <f t="shared" si="17"/>
        <v>0</v>
      </c>
      <c r="F132" s="169"/>
      <c r="G132" s="170">
        <f t="shared" si="13"/>
        <v>16347.079433544819</v>
      </c>
    </row>
    <row r="133" spans="1:8">
      <c r="A133" s="168">
        <v>119</v>
      </c>
      <c r="B133" s="171">
        <f t="shared" si="10"/>
        <v>107.36432460242781</v>
      </c>
      <c r="C133" s="171">
        <f t="shared" si="11"/>
        <v>68.112830973103414</v>
      </c>
      <c r="D133" s="171">
        <f t="shared" si="12"/>
        <v>39.251493629324401</v>
      </c>
      <c r="E133" s="169">
        <f t="shared" si="17"/>
        <v>0</v>
      </c>
      <c r="F133" s="169"/>
      <c r="G133" s="170">
        <f t="shared" si="13"/>
        <v>16307.827939915494</v>
      </c>
    </row>
    <row r="134" spans="1:8">
      <c r="A134" s="168">
        <v>120</v>
      </c>
      <c r="B134" s="171">
        <f t="shared" si="10"/>
        <v>107.36432460242781</v>
      </c>
      <c r="C134" s="171">
        <f t="shared" si="11"/>
        <v>67.949283082981225</v>
      </c>
      <c r="D134" s="171">
        <f t="shared" si="12"/>
        <v>39.415041519446589</v>
      </c>
      <c r="E134" s="169">
        <f t="shared" si="17"/>
        <v>0</v>
      </c>
      <c r="F134" s="169"/>
      <c r="G134" s="170">
        <f t="shared" si="13"/>
        <v>16268.412898396047</v>
      </c>
      <c r="H134" s="182">
        <f>SUM(D123:D134)</f>
        <v>462.33424967352551</v>
      </c>
    </row>
    <row r="135" spans="1:8" s="181" customFormat="1">
      <c r="A135" s="177">
        <v>121</v>
      </c>
      <c r="B135" s="178">
        <f t="shared" si="10"/>
        <v>107.36432460242781</v>
      </c>
      <c r="C135" s="178">
        <f t="shared" si="11"/>
        <v>67.785053743316865</v>
      </c>
      <c r="D135" s="178">
        <f t="shared" si="12"/>
        <v>39.579270859110949</v>
      </c>
      <c r="E135" s="178">
        <f>IF(G134-D135&gt;=$B$7,$B$7,G134-D135)+H135</f>
        <v>0</v>
      </c>
      <c r="F135" s="178"/>
      <c r="G135" s="180">
        <f t="shared" si="13"/>
        <v>16228.833627536937</v>
      </c>
      <c r="H135" s="182">
        <f>+H123+B8</f>
        <v>0</v>
      </c>
    </row>
    <row r="136" spans="1:8">
      <c r="A136" s="168">
        <v>122</v>
      </c>
      <c r="B136" s="171">
        <f t="shared" si="10"/>
        <v>107.36432460242781</v>
      </c>
      <c r="C136" s="171">
        <f t="shared" si="11"/>
        <v>67.620140114737239</v>
      </c>
      <c r="D136" s="171">
        <f t="shared" si="12"/>
        <v>39.744184487690575</v>
      </c>
      <c r="E136" s="169">
        <f>IF(G135-D136&gt;=$B$7,E135,G135-D136)</f>
        <v>0</v>
      </c>
      <c r="F136" s="169"/>
      <c r="G136" s="170">
        <f t="shared" si="13"/>
        <v>16189.089443049246</v>
      </c>
    </row>
    <row r="137" spans="1:8">
      <c r="A137" s="168">
        <v>123</v>
      </c>
      <c r="B137" s="171">
        <f t="shared" si="10"/>
        <v>107.36432460242781</v>
      </c>
      <c r="C137" s="171">
        <f t="shared" si="11"/>
        <v>67.45453934603853</v>
      </c>
      <c r="D137" s="171">
        <f t="shared" si="12"/>
        <v>39.909785256389284</v>
      </c>
      <c r="E137" s="169">
        <f t="shared" ref="E137:E147" si="18">IF(G136-D137&gt;=$B$7,E136,G136-D137)</f>
        <v>0</v>
      </c>
      <c r="F137" s="169"/>
      <c r="G137" s="170">
        <f t="shared" si="13"/>
        <v>16149.179657792856</v>
      </c>
    </row>
    <row r="138" spans="1:8">
      <c r="A138" s="168">
        <v>124</v>
      </c>
      <c r="B138" s="171">
        <f t="shared" si="10"/>
        <v>107.36432460242781</v>
      </c>
      <c r="C138" s="171">
        <f t="shared" si="11"/>
        <v>67.288248574136901</v>
      </c>
      <c r="D138" s="171">
        <f t="shared" si="12"/>
        <v>40.076076028290913</v>
      </c>
      <c r="E138" s="169">
        <f t="shared" si="18"/>
        <v>0</v>
      </c>
      <c r="F138" s="169"/>
      <c r="G138" s="170">
        <f t="shared" si="13"/>
        <v>16109.103581764566</v>
      </c>
    </row>
    <row r="139" spans="1:8">
      <c r="A139" s="168">
        <v>125</v>
      </c>
      <c r="B139" s="171">
        <f t="shared" si="10"/>
        <v>107.36432460242781</v>
      </c>
      <c r="C139" s="171">
        <f t="shared" si="11"/>
        <v>67.12126492401903</v>
      </c>
      <c r="D139" s="171">
        <f t="shared" si="12"/>
        <v>40.243059678408784</v>
      </c>
      <c r="E139" s="169">
        <f t="shared" si="18"/>
        <v>0</v>
      </c>
      <c r="F139" s="169"/>
      <c r="G139" s="170">
        <f t="shared" si="13"/>
        <v>16068.860522086157</v>
      </c>
    </row>
    <row r="140" spans="1:8">
      <c r="A140" s="168">
        <v>126</v>
      </c>
      <c r="B140" s="171">
        <f t="shared" si="10"/>
        <v>107.36432460242781</v>
      </c>
      <c r="C140" s="171">
        <f t="shared" si="11"/>
        <v>66.953585508692328</v>
      </c>
      <c r="D140" s="171">
        <f t="shared" si="12"/>
        <v>40.410739093735486</v>
      </c>
      <c r="E140" s="169">
        <f t="shared" si="18"/>
        <v>0</v>
      </c>
      <c r="F140" s="169"/>
      <c r="G140" s="170">
        <f t="shared" si="13"/>
        <v>16028.449782992422</v>
      </c>
    </row>
    <row r="141" spans="1:8">
      <c r="A141" s="168">
        <v>127</v>
      </c>
      <c r="B141" s="171">
        <f t="shared" si="10"/>
        <v>107.36432460242781</v>
      </c>
      <c r="C141" s="171">
        <f t="shared" si="11"/>
        <v>66.785207429135085</v>
      </c>
      <c r="D141" s="171">
        <f t="shared" si="12"/>
        <v>40.57911717329273</v>
      </c>
      <c r="E141" s="169">
        <f t="shared" si="18"/>
        <v>0</v>
      </c>
      <c r="F141" s="169"/>
      <c r="G141" s="170">
        <f t="shared" si="13"/>
        <v>15987.870665819129</v>
      </c>
    </row>
    <row r="142" spans="1:8">
      <c r="A142" s="168">
        <v>128</v>
      </c>
      <c r="B142" s="171">
        <f t="shared" si="10"/>
        <v>107.36432460242781</v>
      </c>
      <c r="C142" s="171">
        <f t="shared" si="11"/>
        <v>66.616127774246365</v>
      </c>
      <c r="D142" s="171">
        <f t="shared" si="12"/>
        <v>40.748196828181449</v>
      </c>
      <c r="E142" s="169">
        <f t="shared" si="18"/>
        <v>0</v>
      </c>
      <c r="F142" s="169"/>
      <c r="G142" s="170">
        <f t="shared" si="13"/>
        <v>15947.122468990949</v>
      </c>
    </row>
    <row r="143" spans="1:8">
      <c r="A143" s="168">
        <v>129</v>
      </c>
      <c r="B143" s="171">
        <f t="shared" si="10"/>
        <v>107.36432460242781</v>
      </c>
      <c r="C143" s="171">
        <f t="shared" si="11"/>
        <v>66.446343620795616</v>
      </c>
      <c r="D143" s="171">
        <f t="shared" si="12"/>
        <v>40.917980981632198</v>
      </c>
      <c r="E143" s="169">
        <f t="shared" si="18"/>
        <v>0</v>
      </c>
      <c r="F143" s="169"/>
      <c r="G143" s="170">
        <f t="shared" si="13"/>
        <v>15906.204488009316</v>
      </c>
    </row>
    <row r="144" spans="1:8">
      <c r="A144" s="168">
        <v>130</v>
      </c>
      <c r="B144" s="171">
        <f t="shared" ref="B144:B207" si="19">IF($B$6&lt;=G143,$B$6,G143+G143*$B$4/$B$5)</f>
        <v>107.36432460242781</v>
      </c>
      <c r="C144" s="171">
        <f t="shared" ref="C144:C207" si="20">IF(B144&gt;0,$B$4/$B$5*G143,0)</f>
        <v>66.275852033372146</v>
      </c>
      <c r="D144" s="171">
        <f t="shared" ref="D144:D207" si="21">IF(B144&gt;0,MIN(B144-C144,G143),0)</f>
        <v>41.088472569055668</v>
      </c>
      <c r="E144" s="169">
        <f t="shared" si="18"/>
        <v>0</v>
      </c>
      <c r="F144" s="169"/>
      <c r="G144" s="170">
        <f t="shared" ref="G144:G207" si="22">IF(ROUND(G143,5)&gt;0,G143-D144-E144,0)</f>
        <v>15865.116015440261</v>
      </c>
    </row>
    <row r="145" spans="1:8">
      <c r="A145" s="168">
        <v>131</v>
      </c>
      <c r="B145" s="171">
        <f t="shared" si="19"/>
        <v>107.36432460242781</v>
      </c>
      <c r="C145" s="171">
        <f t="shared" si="20"/>
        <v>66.104650064334422</v>
      </c>
      <c r="D145" s="171">
        <f t="shared" si="21"/>
        <v>41.259674538093392</v>
      </c>
      <c r="E145" s="169">
        <f t="shared" si="18"/>
        <v>0</v>
      </c>
      <c r="F145" s="169"/>
      <c r="G145" s="170">
        <f t="shared" si="22"/>
        <v>15823.856340902166</v>
      </c>
    </row>
    <row r="146" spans="1:8">
      <c r="A146" s="168">
        <v>132</v>
      </c>
      <c r="B146" s="171">
        <f t="shared" si="19"/>
        <v>107.36432460242781</v>
      </c>
      <c r="C146" s="171">
        <f t="shared" si="20"/>
        <v>65.932734753759021</v>
      </c>
      <c r="D146" s="171">
        <f t="shared" si="21"/>
        <v>41.431589848668793</v>
      </c>
      <c r="E146" s="169">
        <f t="shared" si="18"/>
        <v>0</v>
      </c>
      <c r="F146" s="169"/>
      <c r="G146" s="170">
        <f t="shared" si="22"/>
        <v>15782.424751053497</v>
      </c>
      <c r="H146" s="182">
        <f>SUM(D135:D146)</f>
        <v>485.98814734255029</v>
      </c>
    </row>
    <row r="147" spans="1:8" s="181" customFormat="1">
      <c r="A147" s="177">
        <v>133</v>
      </c>
      <c r="B147" s="178">
        <f t="shared" si="19"/>
        <v>107.36432460242781</v>
      </c>
      <c r="C147" s="178">
        <f t="shared" si="20"/>
        <v>65.760103129389563</v>
      </c>
      <c r="D147" s="178">
        <f t="shared" si="21"/>
        <v>41.604221473038251</v>
      </c>
      <c r="E147" s="179">
        <f t="shared" si="18"/>
        <v>0</v>
      </c>
      <c r="F147" s="179"/>
      <c r="G147" s="180">
        <f t="shared" si="22"/>
        <v>15740.820529580458</v>
      </c>
    </row>
    <row r="148" spans="1:8">
      <c r="A148" s="168">
        <v>134</v>
      </c>
      <c r="B148" s="171">
        <f t="shared" si="19"/>
        <v>107.36432460242781</v>
      </c>
      <c r="C148" s="171">
        <f t="shared" si="20"/>
        <v>65.586752206585246</v>
      </c>
      <c r="D148" s="171">
        <f t="shared" si="21"/>
        <v>41.777572395842569</v>
      </c>
      <c r="E148" s="169">
        <f t="shared" ref="E148:E211" si="23">IF(G147-D148&gt;=$B$7,$B$7,G147-D148)</f>
        <v>0</v>
      </c>
      <c r="F148" s="169"/>
      <c r="G148" s="170">
        <f t="shared" si="22"/>
        <v>15699.042957184616</v>
      </c>
    </row>
    <row r="149" spans="1:8">
      <c r="A149" s="168">
        <v>135</v>
      </c>
      <c r="B149" s="171">
        <f t="shared" si="19"/>
        <v>107.36432460242781</v>
      </c>
      <c r="C149" s="171">
        <f t="shared" si="20"/>
        <v>65.412678988269235</v>
      </c>
      <c r="D149" s="171">
        <f t="shared" si="21"/>
        <v>41.951645614158579</v>
      </c>
      <c r="E149" s="169">
        <f t="shared" si="23"/>
        <v>0</v>
      </c>
      <c r="F149" s="169"/>
      <c r="G149" s="170">
        <f t="shared" si="22"/>
        <v>15657.091311570457</v>
      </c>
    </row>
    <row r="150" spans="1:8">
      <c r="A150" s="168">
        <v>136</v>
      </c>
      <c r="B150" s="171">
        <f t="shared" si="19"/>
        <v>107.36432460242781</v>
      </c>
      <c r="C150" s="171">
        <f t="shared" si="20"/>
        <v>65.237880464876909</v>
      </c>
      <c r="D150" s="171">
        <f t="shared" si="21"/>
        <v>42.126444137550905</v>
      </c>
      <c r="E150" s="169">
        <f t="shared" si="23"/>
        <v>0</v>
      </c>
      <c r="F150" s="169"/>
      <c r="G150" s="170">
        <f t="shared" si="22"/>
        <v>15614.964867432906</v>
      </c>
    </row>
    <row r="151" spans="1:8">
      <c r="A151" s="168">
        <v>137</v>
      </c>
      <c r="B151" s="171">
        <f t="shared" si="19"/>
        <v>107.36432460242781</v>
      </c>
      <c r="C151" s="171">
        <f t="shared" si="20"/>
        <v>65.062353614303774</v>
      </c>
      <c r="D151" s="171">
        <f t="shared" si="21"/>
        <v>42.30197098812404</v>
      </c>
      <c r="E151" s="169">
        <f t="shared" si="23"/>
        <v>0</v>
      </c>
      <c r="F151" s="169"/>
      <c r="G151" s="170">
        <f t="shared" si="22"/>
        <v>15572.662896444781</v>
      </c>
    </row>
    <row r="152" spans="1:8">
      <c r="A152" s="168">
        <v>138</v>
      </c>
      <c r="B152" s="171">
        <f t="shared" si="19"/>
        <v>107.36432460242781</v>
      </c>
      <c r="C152" s="171">
        <f t="shared" si="20"/>
        <v>64.886095401853254</v>
      </c>
      <c r="D152" s="171">
        <f t="shared" si="21"/>
        <v>42.47822920057456</v>
      </c>
      <c r="E152" s="169">
        <f t="shared" si="23"/>
        <v>0</v>
      </c>
      <c r="F152" s="169"/>
      <c r="G152" s="170">
        <f t="shared" si="22"/>
        <v>15530.184667244206</v>
      </c>
    </row>
    <row r="153" spans="1:8">
      <c r="A153" s="168">
        <v>139</v>
      </c>
      <c r="B153" s="171">
        <f t="shared" si="19"/>
        <v>107.36432460242781</v>
      </c>
      <c r="C153" s="171">
        <f t="shared" si="20"/>
        <v>64.709102780184196</v>
      </c>
      <c r="D153" s="171">
        <f t="shared" si="21"/>
        <v>42.655221822243618</v>
      </c>
      <c r="E153" s="169">
        <f t="shared" si="23"/>
        <v>0</v>
      </c>
      <c r="F153" s="169"/>
      <c r="G153" s="170">
        <f t="shared" si="22"/>
        <v>15487.529445421962</v>
      </c>
    </row>
    <row r="154" spans="1:8">
      <c r="A154" s="168">
        <v>140</v>
      </c>
      <c r="B154" s="171">
        <f t="shared" si="19"/>
        <v>107.36432460242781</v>
      </c>
      <c r="C154" s="171">
        <f t="shared" si="20"/>
        <v>64.531372689258177</v>
      </c>
      <c r="D154" s="171">
        <f t="shared" si="21"/>
        <v>42.832951913169637</v>
      </c>
      <c r="E154" s="169">
        <f t="shared" si="23"/>
        <v>0</v>
      </c>
      <c r="F154" s="169"/>
      <c r="G154" s="170">
        <f t="shared" si="22"/>
        <v>15444.696493508793</v>
      </c>
    </row>
    <row r="155" spans="1:8">
      <c r="A155" s="168">
        <v>141</v>
      </c>
      <c r="B155" s="171">
        <f t="shared" si="19"/>
        <v>107.36432460242781</v>
      </c>
      <c r="C155" s="171">
        <f t="shared" si="20"/>
        <v>64.352902056286638</v>
      </c>
      <c r="D155" s="171">
        <f t="shared" si="21"/>
        <v>43.011422546141176</v>
      </c>
      <c r="E155" s="169">
        <f t="shared" si="23"/>
        <v>0</v>
      </c>
      <c r="F155" s="169"/>
      <c r="G155" s="170">
        <f t="shared" si="22"/>
        <v>15401.685070962651</v>
      </c>
    </row>
    <row r="156" spans="1:8">
      <c r="A156" s="168">
        <v>142</v>
      </c>
      <c r="B156" s="171">
        <f t="shared" si="19"/>
        <v>107.36432460242781</v>
      </c>
      <c r="C156" s="171">
        <f t="shared" si="20"/>
        <v>64.173687795677708</v>
      </c>
      <c r="D156" s="171">
        <f t="shared" si="21"/>
        <v>43.190636806750106</v>
      </c>
      <c r="E156" s="169">
        <f t="shared" si="23"/>
        <v>0</v>
      </c>
      <c r="F156" s="169"/>
      <c r="G156" s="170">
        <f t="shared" si="22"/>
        <v>15358.4944341559</v>
      </c>
    </row>
    <row r="157" spans="1:8">
      <c r="A157" s="168">
        <v>143</v>
      </c>
      <c r="B157" s="171">
        <f t="shared" si="19"/>
        <v>107.36432460242781</v>
      </c>
      <c r="C157" s="171">
        <f t="shared" si="20"/>
        <v>63.99372680898292</v>
      </c>
      <c r="D157" s="171">
        <f t="shared" si="21"/>
        <v>43.370597793444894</v>
      </c>
      <c r="E157" s="169">
        <f t="shared" si="23"/>
        <v>0</v>
      </c>
      <c r="F157" s="169"/>
      <c r="G157" s="170">
        <f t="shared" si="22"/>
        <v>15315.123836362456</v>
      </c>
    </row>
    <row r="158" spans="1:8">
      <c r="A158" s="168">
        <v>144</v>
      </c>
      <c r="B158" s="171">
        <f t="shared" si="19"/>
        <v>107.36432460242781</v>
      </c>
      <c r="C158" s="171">
        <f t="shared" si="20"/>
        <v>63.813015984843567</v>
      </c>
      <c r="D158" s="171">
        <f t="shared" si="21"/>
        <v>43.551308617584247</v>
      </c>
      <c r="E158" s="169">
        <f t="shared" si="23"/>
        <v>0</v>
      </c>
      <c r="F158" s="169"/>
      <c r="G158" s="170">
        <f t="shared" si="22"/>
        <v>15271.572527744873</v>
      </c>
      <c r="H158" s="182">
        <f>SUM(D147:D158)</f>
        <v>510.85222330862257</v>
      </c>
    </row>
    <row r="159" spans="1:8">
      <c r="A159" s="168">
        <v>145</v>
      </c>
      <c r="B159" s="171">
        <f t="shared" si="19"/>
        <v>107.36432460242781</v>
      </c>
      <c r="C159" s="171">
        <f t="shared" si="20"/>
        <v>63.631552198936966</v>
      </c>
      <c r="D159" s="171">
        <f t="shared" si="21"/>
        <v>43.732772403490848</v>
      </c>
      <c r="E159" s="169">
        <f t="shared" si="23"/>
        <v>0</v>
      </c>
      <c r="F159" s="169"/>
      <c r="G159" s="170">
        <f t="shared" si="22"/>
        <v>15227.839755341382</v>
      </c>
    </row>
    <row r="160" spans="1:8">
      <c r="A160" s="168">
        <v>146</v>
      </c>
      <c r="B160" s="171">
        <f t="shared" si="19"/>
        <v>107.36432460242781</v>
      </c>
      <c r="C160" s="171">
        <f t="shared" si="20"/>
        <v>63.449332313922419</v>
      </c>
      <c r="D160" s="171">
        <f t="shared" si="21"/>
        <v>43.914992288505395</v>
      </c>
      <c r="E160" s="169">
        <f t="shared" si="23"/>
        <v>0</v>
      </c>
      <c r="F160" s="169"/>
      <c r="G160" s="170">
        <f t="shared" si="22"/>
        <v>15183.924763052875</v>
      </c>
    </row>
    <row r="161" spans="1:8">
      <c r="A161" s="168">
        <v>147</v>
      </c>
      <c r="B161" s="171">
        <f t="shared" si="19"/>
        <v>107.36432460242781</v>
      </c>
      <c r="C161" s="171">
        <f t="shared" si="20"/>
        <v>63.266353179386982</v>
      </c>
      <c r="D161" s="171">
        <f t="shared" si="21"/>
        <v>44.097971423040832</v>
      </c>
      <c r="E161" s="169">
        <f t="shared" si="23"/>
        <v>0</v>
      </c>
      <c r="F161" s="169"/>
      <c r="G161" s="170">
        <f t="shared" si="22"/>
        <v>15139.826791629834</v>
      </c>
    </row>
    <row r="162" spans="1:8">
      <c r="A162" s="168">
        <v>148</v>
      </c>
      <c r="B162" s="171">
        <f t="shared" si="19"/>
        <v>107.36432460242781</v>
      </c>
      <c r="C162" s="171">
        <f t="shared" si="20"/>
        <v>63.082611631790975</v>
      </c>
      <c r="D162" s="171">
        <f t="shared" si="21"/>
        <v>44.281712970636839</v>
      </c>
      <c r="E162" s="169">
        <f t="shared" si="23"/>
        <v>0</v>
      </c>
      <c r="F162" s="169"/>
      <c r="G162" s="170">
        <f t="shared" si="22"/>
        <v>15095.545078659197</v>
      </c>
    </row>
    <row r="163" spans="1:8">
      <c r="A163" s="168">
        <v>149</v>
      </c>
      <c r="B163" s="171">
        <f t="shared" si="19"/>
        <v>107.36432460242781</v>
      </c>
      <c r="C163" s="171">
        <f t="shared" si="20"/>
        <v>62.898104494413325</v>
      </c>
      <c r="D163" s="171">
        <f t="shared" si="21"/>
        <v>44.46622010801449</v>
      </c>
      <c r="E163" s="169">
        <f t="shared" si="23"/>
        <v>0</v>
      </c>
      <c r="F163" s="169"/>
      <c r="G163" s="170">
        <f t="shared" si="22"/>
        <v>15051.078858551184</v>
      </c>
    </row>
    <row r="164" spans="1:8">
      <c r="A164" s="168">
        <v>150</v>
      </c>
      <c r="B164" s="171">
        <f t="shared" si="19"/>
        <v>107.36432460242781</v>
      </c>
      <c r="C164" s="171">
        <f t="shared" si="20"/>
        <v>62.712828577296598</v>
      </c>
      <c r="D164" s="171">
        <f t="shared" si="21"/>
        <v>44.651496025131216</v>
      </c>
      <c r="E164" s="169">
        <f t="shared" si="23"/>
        <v>0</v>
      </c>
      <c r="F164" s="169"/>
      <c r="G164" s="170">
        <f t="shared" si="22"/>
        <v>15006.427362526052</v>
      </c>
    </row>
    <row r="165" spans="1:8">
      <c r="A165" s="168">
        <v>151</v>
      </c>
      <c r="B165" s="171">
        <f t="shared" si="19"/>
        <v>107.36432460242781</v>
      </c>
      <c r="C165" s="171">
        <f t="shared" si="20"/>
        <v>62.52678067719188</v>
      </c>
      <c r="D165" s="171">
        <f t="shared" si="21"/>
        <v>44.837543925235934</v>
      </c>
      <c r="E165" s="169">
        <f t="shared" si="23"/>
        <v>0</v>
      </c>
      <c r="F165" s="169"/>
      <c r="G165" s="170">
        <f t="shared" si="22"/>
        <v>14961.589818600816</v>
      </c>
    </row>
    <row r="166" spans="1:8">
      <c r="A166" s="168">
        <v>152</v>
      </c>
      <c r="B166" s="171">
        <f t="shared" si="19"/>
        <v>107.36432460242781</v>
      </c>
      <c r="C166" s="171">
        <f t="shared" si="20"/>
        <v>62.339957577503398</v>
      </c>
      <c r="D166" s="171">
        <f t="shared" si="21"/>
        <v>45.024367024924416</v>
      </c>
      <c r="E166" s="169">
        <f t="shared" si="23"/>
        <v>0</v>
      </c>
      <c r="F166" s="169"/>
      <c r="G166" s="170">
        <f t="shared" si="22"/>
        <v>14916.565451575892</v>
      </c>
    </row>
    <row r="167" spans="1:8">
      <c r="A167" s="168">
        <v>153</v>
      </c>
      <c r="B167" s="171">
        <f t="shared" si="19"/>
        <v>107.36432460242781</v>
      </c>
      <c r="C167" s="171">
        <f t="shared" si="20"/>
        <v>62.152356048232882</v>
      </c>
      <c r="D167" s="171">
        <f t="shared" si="21"/>
        <v>45.211968554194932</v>
      </c>
      <c r="E167" s="169">
        <f t="shared" si="23"/>
        <v>0</v>
      </c>
      <c r="F167" s="169"/>
      <c r="G167" s="170">
        <f t="shared" si="22"/>
        <v>14871.353483021698</v>
      </c>
    </row>
    <row r="168" spans="1:8">
      <c r="A168" s="168">
        <v>154</v>
      </c>
      <c r="B168" s="171">
        <f t="shared" si="19"/>
        <v>107.36432460242781</v>
      </c>
      <c r="C168" s="171">
        <f t="shared" si="20"/>
        <v>61.963972845923742</v>
      </c>
      <c r="D168" s="171">
        <f t="shared" si="21"/>
        <v>45.400351756504072</v>
      </c>
      <c r="E168" s="169">
        <f t="shared" si="23"/>
        <v>0</v>
      </c>
      <c r="F168" s="169"/>
      <c r="G168" s="170">
        <f t="shared" si="22"/>
        <v>14825.953131265194</v>
      </c>
    </row>
    <row r="169" spans="1:8">
      <c r="A169" s="168">
        <v>155</v>
      </c>
      <c r="B169" s="171">
        <f t="shared" si="19"/>
        <v>107.36432460242781</v>
      </c>
      <c r="C169" s="171">
        <f t="shared" si="20"/>
        <v>61.774804713604972</v>
      </c>
      <c r="D169" s="171">
        <f t="shared" si="21"/>
        <v>45.589519888822842</v>
      </c>
      <c r="E169" s="169">
        <f t="shared" si="23"/>
        <v>0</v>
      </c>
      <c r="F169" s="169"/>
      <c r="G169" s="170">
        <f t="shared" si="22"/>
        <v>14780.363611376371</v>
      </c>
    </row>
    <row r="170" spans="1:8">
      <c r="A170" s="168">
        <v>156</v>
      </c>
      <c r="B170" s="171">
        <f t="shared" si="19"/>
        <v>107.36432460242781</v>
      </c>
      <c r="C170" s="171">
        <f t="shared" si="20"/>
        <v>61.584848380734883</v>
      </c>
      <c r="D170" s="171">
        <f t="shared" si="21"/>
        <v>45.779476221692931</v>
      </c>
      <c r="E170" s="169">
        <f t="shared" si="23"/>
        <v>0</v>
      </c>
      <c r="F170" s="169"/>
      <c r="G170" s="170">
        <f t="shared" si="22"/>
        <v>14734.584135154679</v>
      </c>
      <c r="H170" s="182">
        <f>SUM(D159:D170)</f>
        <v>536.98839259019474</v>
      </c>
    </row>
    <row r="171" spans="1:8">
      <c r="A171" s="168">
        <v>157</v>
      </c>
      <c r="B171" s="171">
        <f t="shared" si="19"/>
        <v>107.36432460242781</v>
      </c>
      <c r="C171" s="171">
        <f t="shared" si="20"/>
        <v>61.394100563144491</v>
      </c>
      <c r="D171" s="171">
        <f t="shared" si="21"/>
        <v>45.970224039283323</v>
      </c>
      <c r="E171" s="169">
        <f t="shared" si="23"/>
        <v>0</v>
      </c>
      <c r="F171" s="169"/>
      <c r="G171" s="170">
        <f t="shared" si="22"/>
        <v>14688.613911115395</v>
      </c>
    </row>
    <row r="172" spans="1:8">
      <c r="A172" s="168">
        <v>158</v>
      </c>
      <c r="B172" s="171">
        <f t="shared" si="19"/>
        <v>107.36432460242781</v>
      </c>
      <c r="C172" s="171">
        <f t="shared" si="20"/>
        <v>61.202557962980812</v>
      </c>
      <c r="D172" s="171">
        <f t="shared" si="21"/>
        <v>46.161766639447002</v>
      </c>
      <c r="E172" s="169">
        <f t="shared" si="23"/>
        <v>0</v>
      </c>
      <c r="F172" s="169"/>
      <c r="G172" s="170">
        <f t="shared" si="22"/>
        <v>14642.452144475948</v>
      </c>
    </row>
    <row r="173" spans="1:8">
      <c r="A173" s="168">
        <v>159</v>
      </c>
      <c r="B173" s="171">
        <f t="shared" si="19"/>
        <v>107.36432460242781</v>
      </c>
      <c r="C173" s="171">
        <f t="shared" si="20"/>
        <v>61.010217268649782</v>
      </c>
      <c r="D173" s="171">
        <f t="shared" si="21"/>
        <v>46.354107333778032</v>
      </c>
      <c r="E173" s="169">
        <f t="shared" si="23"/>
        <v>0</v>
      </c>
      <c r="F173" s="169"/>
      <c r="G173" s="170">
        <f t="shared" si="22"/>
        <v>14596.09803714217</v>
      </c>
    </row>
    <row r="174" spans="1:8">
      <c r="A174" s="168">
        <v>160</v>
      </c>
      <c r="B174" s="171">
        <f t="shared" si="19"/>
        <v>107.36432460242781</v>
      </c>
      <c r="C174" s="171">
        <f t="shared" si="20"/>
        <v>60.817075154759038</v>
      </c>
      <c r="D174" s="171">
        <f t="shared" si="21"/>
        <v>46.547249447668776</v>
      </c>
      <c r="E174" s="169">
        <f t="shared" si="23"/>
        <v>0</v>
      </c>
      <c r="F174" s="169"/>
      <c r="G174" s="170">
        <f t="shared" si="22"/>
        <v>14549.550787694501</v>
      </c>
    </row>
    <row r="175" spans="1:8">
      <c r="A175" s="168">
        <v>161</v>
      </c>
      <c r="B175" s="171">
        <f t="shared" si="19"/>
        <v>107.36432460242781</v>
      </c>
      <c r="C175" s="171">
        <f t="shared" si="20"/>
        <v>60.623128282060421</v>
      </c>
      <c r="D175" s="171">
        <f t="shared" si="21"/>
        <v>46.741196320367393</v>
      </c>
      <c r="E175" s="169">
        <f t="shared" si="23"/>
        <v>0</v>
      </c>
      <c r="F175" s="169"/>
      <c r="G175" s="170">
        <f t="shared" si="22"/>
        <v>14502.809591374134</v>
      </c>
    </row>
    <row r="176" spans="1:8">
      <c r="A176" s="168">
        <v>162</v>
      </c>
      <c r="B176" s="171">
        <f t="shared" si="19"/>
        <v>107.36432460242781</v>
      </c>
      <c r="C176" s="171">
        <f t="shared" si="20"/>
        <v>60.428373297392227</v>
      </c>
      <c r="D176" s="171">
        <f t="shared" si="21"/>
        <v>46.935951305035587</v>
      </c>
      <c r="E176" s="169">
        <f t="shared" si="23"/>
        <v>0</v>
      </c>
      <c r="F176" s="169"/>
      <c r="G176" s="170">
        <f t="shared" si="22"/>
        <v>14455.8736400691</v>
      </c>
    </row>
    <row r="177" spans="1:8">
      <c r="A177" s="168">
        <v>163</v>
      </c>
      <c r="B177" s="171">
        <f t="shared" si="19"/>
        <v>107.36432460242781</v>
      </c>
      <c r="C177" s="171">
        <f t="shared" si="20"/>
        <v>60.232806833621247</v>
      </c>
      <c r="D177" s="171">
        <f t="shared" si="21"/>
        <v>47.131517768806567</v>
      </c>
      <c r="E177" s="169">
        <f t="shared" si="23"/>
        <v>0</v>
      </c>
      <c r="F177" s="169"/>
      <c r="G177" s="170">
        <f t="shared" si="22"/>
        <v>14408.742122300293</v>
      </c>
    </row>
    <row r="178" spans="1:8">
      <c r="A178" s="168">
        <v>164</v>
      </c>
      <c r="B178" s="171">
        <f t="shared" si="19"/>
        <v>107.36432460242781</v>
      </c>
      <c r="C178" s="171">
        <f t="shared" si="20"/>
        <v>60.036425509584554</v>
      </c>
      <c r="D178" s="171">
        <f t="shared" si="21"/>
        <v>47.327899092843261</v>
      </c>
      <c r="E178" s="169">
        <f t="shared" si="23"/>
        <v>0</v>
      </c>
      <c r="F178" s="169"/>
      <c r="G178" s="170">
        <f t="shared" si="22"/>
        <v>14361.41422320745</v>
      </c>
    </row>
    <row r="179" spans="1:8">
      <c r="A179" s="168">
        <v>165</v>
      </c>
      <c r="B179" s="171">
        <f t="shared" si="19"/>
        <v>107.36432460242781</v>
      </c>
      <c r="C179" s="171">
        <f t="shared" si="20"/>
        <v>59.839225930031041</v>
      </c>
      <c r="D179" s="171">
        <f t="shared" si="21"/>
        <v>47.525098672396773</v>
      </c>
      <c r="E179" s="169">
        <f t="shared" si="23"/>
        <v>0</v>
      </c>
      <c r="F179" s="169"/>
      <c r="G179" s="170">
        <f t="shared" si="22"/>
        <v>14313.889124535053</v>
      </c>
    </row>
    <row r="180" spans="1:8">
      <c r="A180" s="168">
        <v>166</v>
      </c>
      <c r="B180" s="171">
        <f t="shared" si="19"/>
        <v>107.36432460242781</v>
      </c>
      <c r="C180" s="171">
        <f t="shared" si="20"/>
        <v>59.64120468556272</v>
      </c>
      <c r="D180" s="171">
        <f t="shared" si="21"/>
        <v>47.723119916865095</v>
      </c>
      <c r="E180" s="169">
        <f t="shared" si="23"/>
        <v>0</v>
      </c>
      <c r="F180" s="169"/>
      <c r="G180" s="170">
        <f t="shared" si="22"/>
        <v>14266.166004618188</v>
      </c>
    </row>
    <row r="181" spans="1:8">
      <c r="A181" s="168">
        <v>167</v>
      </c>
      <c r="B181" s="171">
        <f t="shared" si="19"/>
        <v>107.36432460242781</v>
      </c>
      <c r="C181" s="171">
        <f t="shared" si="20"/>
        <v>59.442358352575781</v>
      </c>
      <c r="D181" s="171">
        <f t="shared" si="21"/>
        <v>47.921966249852034</v>
      </c>
      <c r="E181" s="169">
        <f t="shared" si="23"/>
        <v>0</v>
      </c>
      <c r="F181" s="169"/>
      <c r="G181" s="170">
        <f t="shared" si="22"/>
        <v>14218.244038368335</v>
      </c>
    </row>
    <row r="182" spans="1:8">
      <c r="A182" s="168">
        <v>168</v>
      </c>
      <c r="B182" s="171">
        <f t="shared" si="19"/>
        <v>107.36432460242781</v>
      </c>
      <c r="C182" s="171">
        <f t="shared" si="20"/>
        <v>59.242683493201397</v>
      </c>
      <c r="D182" s="171">
        <f t="shared" si="21"/>
        <v>48.121641109226417</v>
      </c>
      <c r="E182" s="169">
        <f t="shared" si="23"/>
        <v>0</v>
      </c>
      <c r="F182" s="169"/>
      <c r="G182" s="170">
        <f t="shared" si="22"/>
        <v>14170.122397259109</v>
      </c>
      <c r="H182" s="182">
        <f>SUM(D171:D182)</f>
        <v>564.46173789557031</v>
      </c>
    </row>
    <row r="183" spans="1:8">
      <c r="A183" s="168">
        <v>169</v>
      </c>
      <c r="B183" s="171">
        <f t="shared" si="19"/>
        <v>107.36432460242781</v>
      </c>
      <c r="C183" s="171">
        <f t="shared" si="20"/>
        <v>59.042176655246287</v>
      </c>
      <c r="D183" s="171">
        <f t="shared" si="21"/>
        <v>48.322147947181527</v>
      </c>
      <c r="E183" s="169">
        <f t="shared" si="23"/>
        <v>0</v>
      </c>
      <c r="F183" s="169"/>
      <c r="G183" s="170">
        <f t="shared" si="22"/>
        <v>14121.800249311927</v>
      </c>
    </row>
    <row r="184" spans="1:8">
      <c r="A184" s="168">
        <v>170</v>
      </c>
      <c r="B184" s="171">
        <f t="shared" si="19"/>
        <v>107.36432460242781</v>
      </c>
      <c r="C184" s="171">
        <f t="shared" si="20"/>
        <v>58.840834372133031</v>
      </c>
      <c r="D184" s="171">
        <f t="shared" si="21"/>
        <v>48.523490230294783</v>
      </c>
      <c r="E184" s="169">
        <f t="shared" si="23"/>
        <v>0</v>
      </c>
      <c r="F184" s="169"/>
      <c r="G184" s="170">
        <f t="shared" si="22"/>
        <v>14073.276759081633</v>
      </c>
    </row>
    <row r="185" spans="1:8">
      <c r="A185" s="168">
        <v>171</v>
      </c>
      <c r="B185" s="171">
        <f t="shared" si="19"/>
        <v>107.36432460242781</v>
      </c>
      <c r="C185" s="171">
        <f t="shared" si="20"/>
        <v>58.638653162840136</v>
      </c>
      <c r="D185" s="171">
        <f t="shared" si="21"/>
        <v>48.725671439587678</v>
      </c>
      <c r="E185" s="169">
        <f t="shared" si="23"/>
        <v>0</v>
      </c>
      <c r="F185" s="169"/>
      <c r="G185" s="170">
        <f t="shared" si="22"/>
        <v>14024.551087642045</v>
      </c>
    </row>
    <row r="186" spans="1:8">
      <c r="A186" s="168">
        <v>172</v>
      </c>
      <c r="B186" s="171">
        <f t="shared" si="19"/>
        <v>107.36432460242781</v>
      </c>
      <c r="C186" s="171">
        <f t="shared" si="20"/>
        <v>58.435629531841855</v>
      </c>
      <c r="D186" s="171">
        <f t="shared" si="21"/>
        <v>48.92869507058596</v>
      </c>
      <c r="E186" s="169">
        <f t="shared" si="23"/>
        <v>0</v>
      </c>
      <c r="F186" s="169"/>
      <c r="G186" s="170">
        <f t="shared" si="22"/>
        <v>13975.622392571458</v>
      </c>
    </row>
    <row r="187" spans="1:8">
      <c r="A187" s="168">
        <v>173</v>
      </c>
      <c r="B187" s="171">
        <f t="shared" si="19"/>
        <v>107.36432460242781</v>
      </c>
      <c r="C187" s="171">
        <f t="shared" si="20"/>
        <v>58.231759969047744</v>
      </c>
      <c r="D187" s="171">
        <f t="shared" si="21"/>
        <v>49.132564633380071</v>
      </c>
      <c r="E187" s="169">
        <f t="shared" si="23"/>
        <v>0</v>
      </c>
      <c r="F187" s="169"/>
      <c r="G187" s="170">
        <f t="shared" si="22"/>
        <v>13926.489827938078</v>
      </c>
    </row>
    <row r="188" spans="1:8">
      <c r="A188" s="168">
        <v>174</v>
      </c>
      <c r="B188" s="171">
        <f t="shared" si="19"/>
        <v>107.36432460242781</v>
      </c>
      <c r="C188" s="171">
        <f t="shared" si="20"/>
        <v>58.027040949741988</v>
      </c>
      <c r="D188" s="171">
        <f t="shared" si="21"/>
        <v>49.337283652685826</v>
      </c>
      <c r="E188" s="169">
        <f t="shared" si="23"/>
        <v>0</v>
      </c>
      <c r="F188" s="169"/>
      <c r="G188" s="170">
        <f t="shared" si="22"/>
        <v>13877.152544285393</v>
      </c>
    </row>
    <row r="189" spans="1:8">
      <c r="A189" s="168">
        <v>175</v>
      </c>
      <c r="B189" s="171">
        <f t="shared" si="19"/>
        <v>107.36432460242781</v>
      </c>
      <c r="C189" s="171">
        <f t="shared" si="20"/>
        <v>57.821468934522471</v>
      </c>
      <c r="D189" s="171">
        <f t="shared" si="21"/>
        <v>49.542855667905343</v>
      </c>
      <c r="E189" s="169">
        <f t="shared" si="23"/>
        <v>0</v>
      </c>
      <c r="F189" s="169"/>
      <c r="G189" s="170">
        <f t="shared" si="22"/>
        <v>13827.609688617487</v>
      </c>
    </row>
    <row r="190" spans="1:8">
      <c r="A190" s="168">
        <v>176</v>
      </c>
      <c r="B190" s="171">
        <f t="shared" si="19"/>
        <v>107.36432460242781</v>
      </c>
      <c r="C190" s="171">
        <f t="shared" si="20"/>
        <v>57.61504036923953</v>
      </c>
      <c r="D190" s="171">
        <f t="shared" si="21"/>
        <v>49.749284233188284</v>
      </c>
      <c r="E190" s="169">
        <f t="shared" si="23"/>
        <v>0</v>
      </c>
      <c r="F190" s="169"/>
      <c r="G190" s="170">
        <f t="shared" si="22"/>
        <v>13777.860404384299</v>
      </c>
    </row>
    <row r="191" spans="1:8">
      <c r="A191" s="168">
        <v>177</v>
      </c>
      <c r="B191" s="171">
        <f t="shared" si="19"/>
        <v>107.36432460242781</v>
      </c>
      <c r="C191" s="171">
        <f t="shared" si="20"/>
        <v>57.407751684934574</v>
      </c>
      <c r="D191" s="171">
        <f t="shared" si="21"/>
        <v>49.95657291749324</v>
      </c>
      <c r="E191" s="169">
        <f t="shared" si="23"/>
        <v>0</v>
      </c>
      <c r="F191" s="169"/>
      <c r="G191" s="170">
        <f t="shared" si="22"/>
        <v>13727.903831466805</v>
      </c>
    </row>
    <row r="192" spans="1:8">
      <c r="A192" s="168">
        <v>178</v>
      </c>
      <c r="B192" s="171">
        <f t="shared" si="19"/>
        <v>107.36432460242781</v>
      </c>
      <c r="C192" s="171">
        <f t="shared" si="20"/>
        <v>57.199599297778356</v>
      </c>
      <c r="D192" s="171">
        <f t="shared" si="21"/>
        <v>50.164725304649458</v>
      </c>
      <c r="E192" s="169">
        <f t="shared" si="23"/>
        <v>0</v>
      </c>
      <c r="F192" s="169"/>
      <c r="G192" s="170">
        <f t="shared" si="22"/>
        <v>13677.739106162155</v>
      </c>
    </row>
    <row r="193" spans="1:9">
      <c r="A193" s="168">
        <v>179</v>
      </c>
      <c r="B193" s="171">
        <f t="shared" si="19"/>
        <v>107.36432460242781</v>
      </c>
      <c r="C193" s="171">
        <f t="shared" si="20"/>
        <v>56.990579609008975</v>
      </c>
      <c r="D193" s="171">
        <f t="shared" si="21"/>
        <v>50.373744993418839</v>
      </c>
      <c r="E193" s="169">
        <f t="shared" si="23"/>
        <v>0</v>
      </c>
      <c r="F193" s="169"/>
      <c r="G193" s="170">
        <f t="shared" si="22"/>
        <v>13627.365361168735</v>
      </c>
    </row>
    <row r="194" spans="1:9">
      <c r="A194" s="168">
        <v>180</v>
      </c>
      <c r="B194" s="171">
        <f t="shared" si="19"/>
        <v>107.36432460242781</v>
      </c>
      <c r="C194" s="171">
        <f t="shared" si="20"/>
        <v>56.780689004869728</v>
      </c>
      <c r="D194" s="171">
        <f t="shared" si="21"/>
        <v>50.583635597558086</v>
      </c>
      <c r="E194" s="169">
        <f t="shared" si="23"/>
        <v>0</v>
      </c>
      <c r="F194" s="169"/>
      <c r="G194" s="170">
        <f t="shared" si="22"/>
        <v>13576.781725571176</v>
      </c>
      <c r="H194" s="182">
        <f>SUM(D183:D194)</f>
        <v>593.3406716879291</v>
      </c>
    </row>
    <row r="195" spans="1:9">
      <c r="A195" s="168">
        <v>181</v>
      </c>
      <c r="B195" s="171">
        <f t="shared" si="19"/>
        <v>107.36432460242781</v>
      </c>
      <c r="C195" s="171">
        <f t="shared" si="20"/>
        <v>56.569923856546566</v>
      </c>
      <c r="D195" s="171">
        <f t="shared" si="21"/>
        <v>50.794400745881248</v>
      </c>
      <c r="E195" s="169">
        <f t="shared" si="23"/>
        <v>0</v>
      </c>
      <c r="F195" s="169"/>
      <c r="G195" s="170">
        <f t="shared" si="22"/>
        <v>13525.987324825295</v>
      </c>
    </row>
    <row r="196" spans="1:9">
      <c r="A196" s="168">
        <v>182</v>
      </c>
      <c r="B196" s="171">
        <f t="shared" si="19"/>
        <v>107.36432460242781</v>
      </c>
      <c r="C196" s="171">
        <f t="shared" si="20"/>
        <v>56.358280520105396</v>
      </c>
      <c r="D196" s="171">
        <f t="shared" si="21"/>
        <v>51.006044082322418</v>
      </c>
      <c r="E196" s="169">
        <f t="shared" si="23"/>
        <v>0</v>
      </c>
      <c r="F196" s="169"/>
      <c r="G196" s="170">
        <f t="shared" si="22"/>
        <v>13474.981280742973</v>
      </c>
    </row>
    <row r="197" spans="1:9">
      <c r="A197" s="168">
        <v>183</v>
      </c>
      <c r="B197" s="171">
        <f t="shared" si="19"/>
        <v>107.36432460242781</v>
      </c>
      <c r="C197" s="171">
        <f t="shared" si="20"/>
        <v>56.145755336429055</v>
      </c>
      <c r="D197" s="171">
        <f t="shared" si="21"/>
        <v>51.218569265998759</v>
      </c>
      <c r="E197" s="169">
        <f t="shared" si="23"/>
        <v>0</v>
      </c>
      <c r="F197" s="169"/>
      <c r="G197" s="170">
        <f t="shared" si="22"/>
        <v>13423.762711476975</v>
      </c>
    </row>
    <row r="198" spans="1:9">
      <c r="A198" s="168">
        <v>184</v>
      </c>
      <c r="B198" s="171">
        <f t="shared" si="19"/>
        <v>107.36432460242781</v>
      </c>
      <c r="C198" s="171">
        <f t="shared" si="20"/>
        <v>55.932344631154059</v>
      </c>
      <c r="D198" s="171">
        <f t="shared" si="21"/>
        <v>51.431979971273755</v>
      </c>
      <c r="E198" s="169">
        <f t="shared" si="23"/>
        <v>0</v>
      </c>
      <c r="F198" s="169"/>
      <c r="G198" s="170">
        <f t="shared" si="22"/>
        <v>13372.330731505701</v>
      </c>
    </row>
    <row r="199" spans="1:9">
      <c r="A199" s="168">
        <v>185</v>
      </c>
      <c r="B199" s="171">
        <f t="shared" si="19"/>
        <v>107.36432460242781</v>
      </c>
      <c r="C199" s="171">
        <f t="shared" si="20"/>
        <v>55.718044714607089</v>
      </c>
      <c r="D199" s="171">
        <f t="shared" si="21"/>
        <v>51.646279887820725</v>
      </c>
      <c r="E199" s="169">
        <f t="shared" si="23"/>
        <v>0</v>
      </c>
      <c r="F199" s="169"/>
      <c r="G199" s="170">
        <f t="shared" si="22"/>
        <v>13320.684451617881</v>
      </c>
    </row>
    <row r="200" spans="1:9">
      <c r="A200" s="168">
        <v>186</v>
      </c>
      <c r="B200" s="171">
        <f t="shared" si="19"/>
        <v>107.36432460242781</v>
      </c>
      <c r="C200" s="171">
        <f t="shared" si="20"/>
        <v>55.502851881741172</v>
      </c>
      <c r="D200" s="171">
        <f t="shared" si="21"/>
        <v>51.861472720686642</v>
      </c>
      <c r="E200" s="169">
        <f t="shared" si="23"/>
        <v>0</v>
      </c>
      <c r="F200" s="169"/>
      <c r="G200" s="170">
        <f t="shared" si="22"/>
        <v>13268.822978897195</v>
      </c>
    </row>
    <row r="201" spans="1:9">
      <c r="A201" s="168">
        <v>187</v>
      </c>
      <c r="B201" s="171">
        <f t="shared" si="19"/>
        <v>107.36432460242781</v>
      </c>
      <c r="C201" s="171">
        <f t="shared" si="20"/>
        <v>55.286762412071646</v>
      </c>
      <c r="D201" s="171">
        <f t="shared" si="21"/>
        <v>52.077562190356169</v>
      </c>
      <c r="E201" s="169">
        <f t="shared" si="23"/>
        <v>0</v>
      </c>
      <c r="F201" s="169"/>
      <c r="G201" s="170">
        <f t="shared" si="22"/>
        <v>13216.745416706839</v>
      </c>
    </row>
    <row r="202" spans="1:9">
      <c r="A202" s="168">
        <v>188</v>
      </c>
      <c r="B202" s="171">
        <f t="shared" si="19"/>
        <v>107.36432460242781</v>
      </c>
      <c r="C202" s="171">
        <f t="shared" si="20"/>
        <v>55.069772569611828</v>
      </c>
      <c r="D202" s="171">
        <f t="shared" si="21"/>
        <v>52.294552032815986</v>
      </c>
      <c r="E202" s="169">
        <f t="shared" si="23"/>
        <v>0</v>
      </c>
      <c r="F202" s="169"/>
      <c r="G202" s="170">
        <f t="shared" si="22"/>
        <v>13164.450864674023</v>
      </c>
    </row>
    <row r="203" spans="1:9">
      <c r="A203" s="168">
        <v>189</v>
      </c>
      <c r="B203" s="171">
        <f t="shared" si="19"/>
        <v>107.36432460242781</v>
      </c>
      <c r="C203" s="171">
        <f t="shared" si="20"/>
        <v>54.851878602808426</v>
      </c>
      <c r="D203" s="171">
        <f t="shared" si="21"/>
        <v>52.512445999619388</v>
      </c>
      <c r="E203" s="169">
        <f t="shared" si="23"/>
        <v>0</v>
      </c>
      <c r="F203" s="169"/>
      <c r="G203" s="170">
        <f t="shared" si="22"/>
        <v>13111.938418674405</v>
      </c>
    </row>
    <row r="204" spans="1:9">
      <c r="A204" s="168">
        <v>190</v>
      </c>
      <c r="B204" s="171">
        <f t="shared" si="19"/>
        <v>107.36432460242781</v>
      </c>
      <c r="C204" s="171">
        <f t="shared" si="20"/>
        <v>54.633076744476682</v>
      </c>
      <c r="D204" s="171">
        <f t="shared" si="21"/>
        <v>52.731247857951132</v>
      </c>
      <c r="E204" s="169">
        <f t="shared" si="23"/>
        <v>0</v>
      </c>
      <c r="F204" s="169"/>
      <c r="G204" s="170">
        <f t="shared" si="22"/>
        <v>13059.207170816453</v>
      </c>
    </row>
    <row r="205" spans="1:9">
      <c r="A205" s="168">
        <v>191</v>
      </c>
      <c r="B205" s="171">
        <f t="shared" si="19"/>
        <v>107.36432460242781</v>
      </c>
      <c r="C205" s="171">
        <f t="shared" si="20"/>
        <v>54.413363211735224</v>
      </c>
      <c r="D205" s="171">
        <f t="shared" si="21"/>
        <v>52.950961390692591</v>
      </c>
      <c r="E205" s="169">
        <f t="shared" si="23"/>
        <v>0</v>
      </c>
      <c r="F205" s="169"/>
      <c r="G205" s="170">
        <f t="shared" si="22"/>
        <v>13006.256209425761</v>
      </c>
    </row>
    <row r="206" spans="1:9">
      <c r="A206" s="168">
        <v>192</v>
      </c>
      <c r="B206" s="171">
        <f t="shared" si="19"/>
        <v>107.36432460242781</v>
      </c>
      <c r="C206" s="171">
        <f t="shared" si="20"/>
        <v>54.192734205940667</v>
      </c>
      <c r="D206" s="171">
        <f t="shared" si="21"/>
        <v>53.171590396487147</v>
      </c>
      <c r="E206" s="169">
        <f t="shared" si="23"/>
        <v>0</v>
      </c>
      <c r="F206" s="169"/>
      <c r="G206" s="170">
        <f t="shared" si="22"/>
        <v>12953.084619029274</v>
      </c>
      <c r="H206" s="182">
        <f>SUM(D195:D206)</f>
        <v>623.6971065419059</v>
      </c>
      <c r="I206">
        <f>A206/12</f>
        <v>16</v>
      </c>
    </row>
    <row r="207" spans="1:9">
      <c r="A207" s="168">
        <v>193</v>
      </c>
      <c r="B207" s="171">
        <f t="shared" si="19"/>
        <v>107.36432460242781</v>
      </c>
      <c r="C207" s="171">
        <f t="shared" si="20"/>
        <v>53.971185912621976</v>
      </c>
      <c r="D207" s="171">
        <f t="shared" si="21"/>
        <v>53.393138689805838</v>
      </c>
      <c r="E207" s="169">
        <f t="shared" si="23"/>
        <v>0</v>
      </c>
      <c r="F207" s="169"/>
      <c r="G207" s="170">
        <f t="shared" si="22"/>
        <v>12899.691480339468</v>
      </c>
    </row>
    <row r="208" spans="1:9">
      <c r="A208" s="168">
        <v>194</v>
      </c>
      <c r="B208" s="171">
        <f t="shared" ref="B208:B271" si="24">IF($B$6&lt;=G207,$B$6,G207+G207*$B$4/$B$5)</f>
        <v>107.36432460242781</v>
      </c>
      <c r="C208" s="171">
        <f t="shared" ref="C208:C271" si="25">IF(B208&gt;0,$B$4/$B$5*G207,0)</f>
        <v>53.748714501414447</v>
      </c>
      <c r="D208" s="171">
        <f t="shared" ref="D208:D271" si="26">IF(B208&gt;0,MIN(B208-C208,G207),0)</f>
        <v>53.615610101013367</v>
      </c>
      <c r="E208" s="169">
        <f t="shared" si="23"/>
        <v>0</v>
      </c>
      <c r="F208" s="169"/>
      <c r="G208" s="170">
        <f t="shared" ref="G208:G271" si="27">IF(ROUND(G207,5)&gt;0,G207-D208-E208,0)</f>
        <v>12846.075870238456</v>
      </c>
    </row>
    <row r="209" spans="1:9">
      <c r="A209" s="168">
        <v>195</v>
      </c>
      <c r="B209" s="171">
        <f t="shared" si="24"/>
        <v>107.36432460242781</v>
      </c>
      <c r="C209" s="171">
        <f t="shared" si="25"/>
        <v>53.525316125993562</v>
      </c>
      <c r="D209" s="171">
        <f t="shared" si="26"/>
        <v>53.839008476434252</v>
      </c>
      <c r="E209" s="169">
        <f t="shared" si="23"/>
        <v>0</v>
      </c>
      <c r="F209" s="169"/>
      <c r="G209" s="170">
        <f t="shared" si="27"/>
        <v>12792.236861762021</v>
      </c>
    </row>
    <row r="210" spans="1:9">
      <c r="A210" s="168">
        <v>196</v>
      </c>
      <c r="B210" s="171">
        <f t="shared" si="24"/>
        <v>107.36432460242781</v>
      </c>
      <c r="C210" s="171">
        <f t="shared" si="25"/>
        <v>53.30098692400842</v>
      </c>
      <c r="D210" s="171">
        <f t="shared" si="26"/>
        <v>54.063337678419394</v>
      </c>
      <c r="E210" s="169">
        <f t="shared" si="23"/>
        <v>0</v>
      </c>
      <c r="F210" s="169"/>
      <c r="G210" s="170">
        <f t="shared" si="27"/>
        <v>12738.173524083602</v>
      </c>
    </row>
    <row r="211" spans="1:9">
      <c r="A211" s="168">
        <v>197</v>
      </c>
      <c r="B211" s="171">
        <f t="shared" si="24"/>
        <v>107.36432460242781</v>
      </c>
      <c r="C211" s="171">
        <f t="shared" si="25"/>
        <v>53.075723017015008</v>
      </c>
      <c r="D211" s="171">
        <f t="shared" si="26"/>
        <v>54.288601585412806</v>
      </c>
      <c r="E211" s="169">
        <f t="shared" si="23"/>
        <v>0</v>
      </c>
      <c r="F211" s="169"/>
      <c r="G211" s="170">
        <f t="shared" si="27"/>
        <v>12683.88492249819</v>
      </c>
    </row>
    <row r="212" spans="1:9">
      <c r="A212" s="168">
        <v>198</v>
      </c>
      <c r="B212" s="171">
        <f t="shared" si="24"/>
        <v>107.36432460242781</v>
      </c>
      <c r="C212" s="171">
        <f t="shared" si="25"/>
        <v>52.849520510409121</v>
      </c>
      <c r="D212" s="171">
        <f t="shared" si="26"/>
        <v>54.514804092018693</v>
      </c>
      <c r="E212" s="169">
        <f t="shared" ref="E212:E275" si="28">IF(G211-D212&gt;=$B$7,$B$7,G211-D212)</f>
        <v>0</v>
      </c>
      <c r="F212" s="169"/>
      <c r="G212" s="170">
        <f t="shared" si="27"/>
        <v>12629.37011840617</v>
      </c>
    </row>
    <row r="213" spans="1:9">
      <c r="A213" s="168">
        <v>199</v>
      </c>
      <c r="B213" s="171">
        <f t="shared" si="24"/>
        <v>107.36432460242781</v>
      </c>
      <c r="C213" s="171">
        <f t="shared" si="25"/>
        <v>52.622375493359044</v>
      </c>
      <c r="D213" s="171">
        <f t="shared" si="26"/>
        <v>54.74194910906877</v>
      </c>
      <c r="E213" s="169">
        <f t="shared" si="28"/>
        <v>0</v>
      </c>
      <c r="F213" s="169"/>
      <c r="G213" s="170">
        <f t="shared" si="27"/>
        <v>12574.628169297101</v>
      </c>
    </row>
    <row r="214" spans="1:9">
      <c r="A214" s="168">
        <v>200</v>
      </c>
      <c r="B214" s="171">
        <f t="shared" si="24"/>
        <v>107.36432460242781</v>
      </c>
      <c r="C214" s="171">
        <f t="shared" si="25"/>
        <v>52.394284038737915</v>
      </c>
      <c r="D214" s="171">
        <f t="shared" si="26"/>
        <v>54.970040563689899</v>
      </c>
      <c r="E214" s="169">
        <f t="shared" si="28"/>
        <v>0</v>
      </c>
      <c r="F214" s="169"/>
      <c r="G214" s="170">
        <f t="shared" si="27"/>
        <v>12519.65812873341</v>
      </c>
    </row>
    <row r="215" spans="1:9">
      <c r="A215" s="168">
        <v>201</v>
      </c>
      <c r="B215" s="171">
        <f t="shared" si="24"/>
        <v>107.36432460242781</v>
      </c>
      <c r="C215" s="171">
        <f t="shared" si="25"/>
        <v>52.165242203055875</v>
      </c>
      <c r="D215" s="171">
        <f t="shared" si="26"/>
        <v>55.199082399371939</v>
      </c>
      <c r="E215" s="169">
        <f t="shared" si="28"/>
        <v>0</v>
      </c>
      <c r="F215" s="169"/>
      <c r="G215" s="170">
        <f t="shared" si="27"/>
        <v>12464.459046334039</v>
      </c>
    </row>
    <row r="216" spans="1:9">
      <c r="A216" s="168">
        <v>202</v>
      </c>
      <c r="B216" s="171">
        <f t="shared" si="24"/>
        <v>107.36432460242781</v>
      </c>
      <c r="C216" s="171">
        <f t="shared" si="25"/>
        <v>51.93524602639183</v>
      </c>
      <c r="D216" s="171">
        <f t="shared" si="26"/>
        <v>55.429078576035984</v>
      </c>
      <c r="E216" s="169">
        <f t="shared" si="28"/>
        <v>0</v>
      </c>
      <c r="F216" s="169"/>
      <c r="G216" s="170">
        <f t="shared" si="27"/>
        <v>12409.029967758002</v>
      </c>
    </row>
    <row r="217" spans="1:9">
      <c r="A217" s="168">
        <v>203</v>
      </c>
      <c r="B217" s="171">
        <f t="shared" si="24"/>
        <v>107.36432460242781</v>
      </c>
      <c r="C217" s="171">
        <f t="shared" si="25"/>
        <v>51.704291532325009</v>
      </c>
      <c r="D217" s="171">
        <f t="shared" si="26"/>
        <v>55.660033070102806</v>
      </c>
      <c r="E217" s="169">
        <f t="shared" si="28"/>
        <v>0</v>
      </c>
      <c r="F217" s="169"/>
      <c r="G217" s="170">
        <f t="shared" si="27"/>
        <v>12353.3699346879</v>
      </c>
    </row>
    <row r="218" spans="1:9">
      <c r="A218" s="168">
        <v>204</v>
      </c>
      <c r="B218" s="171">
        <f t="shared" si="24"/>
        <v>107.36432460242781</v>
      </c>
      <c r="C218" s="171">
        <f t="shared" si="25"/>
        <v>51.472374727866253</v>
      </c>
      <c r="D218" s="171">
        <f t="shared" si="26"/>
        <v>55.891949874561561</v>
      </c>
      <c r="E218" s="169">
        <f t="shared" si="28"/>
        <v>0</v>
      </c>
      <c r="F218" s="169"/>
      <c r="G218" s="170">
        <f t="shared" si="27"/>
        <v>12297.477984813338</v>
      </c>
      <c r="H218" s="182">
        <f>SUM(D207:D218)</f>
        <v>655.6066342159354</v>
      </c>
      <c r="I218">
        <f>A218/12</f>
        <v>17</v>
      </c>
    </row>
    <row r="219" spans="1:9">
      <c r="A219" s="168">
        <v>205</v>
      </c>
      <c r="B219" s="171">
        <f t="shared" si="24"/>
        <v>107.36432460242781</v>
      </c>
      <c r="C219" s="171">
        <f t="shared" si="25"/>
        <v>51.239491603388913</v>
      </c>
      <c r="D219" s="171">
        <f t="shared" si="26"/>
        <v>56.124832999038901</v>
      </c>
      <c r="E219" s="169">
        <f t="shared" si="28"/>
        <v>0</v>
      </c>
      <c r="F219" s="169"/>
      <c r="G219" s="170">
        <f t="shared" si="27"/>
        <v>12241.353151814299</v>
      </c>
    </row>
    <row r="220" spans="1:9">
      <c r="A220" s="168">
        <v>206</v>
      </c>
      <c r="B220" s="171">
        <f t="shared" si="24"/>
        <v>107.36432460242781</v>
      </c>
      <c r="C220" s="171">
        <f t="shared" si="25"/>
        <v>51.005638132559582</v>
      </c>
      <c r="D220" s="171">
        <f t="shared" si="26"/>
        <v>56.358686469868232</v>
      </c>
      <c r="E220" s="169">
        <f t="shared" si="28"/>
        <v>0</v>
      </c>
      <c r="F220" s="169"/>
      <c r="G220" s="170">
        <f t="shared" si="27"/>
        <v>12184.994465344431</v>
      </c>
    </row>
    <row r="221" spans="1:9">
      <c r="A221" s="168">
        <v>207</v>
      </c>
      <c r="B221" s="171">
        <f t="shared" si="24"/>
        <v>107.36432460242781</v>
      </c>
      <c r="C221" s="171">
        <f t="shared" si="25"/>
        <v>50.770810272268463</v>
      </c>
      <c r="D221" s="171">
        <f t="shared" si="26"/>
        <v>56.593514330159351</v>
      </c>
      <c r="E221" s="169">
        <f t="shared" si="28"/>
        <v>0</v>
      </c>
      <c r="F221" s="169"/>
      <c r="G221" s="170">
        <f t="shared" si="27"/>
        <v>12128.400951014271</v>
      </c>
    </row>
    <row r="222" spans="1:9">
      <c r="A222" s="168">
        <v>208</v>
      </c>
      <c r="B222" s="171">
        <f t="shared" si="24"/>
        <v>107.36432460242781</v>
      </c>
      <c r="C222" s="171">
        <f t="shared" si="25"/>
        <v>50.535003962559465</v>
      </c>
      <c r="D222" s="171">
        <f t="shared" si="26"/>
        <v>56.829320639868349</v>
      </c>
      <c r="E222" s="169">
        <f t="shared" si="28"/>
        <v>0</v>
      </c>
      <c r="F222" s="169"/>
      <c r="G222" s="170">
        <f t="shared" si="27"/>
        <v>12071.571630374403</v>
      </c>
    </row>
    <row r="223" spans="1:9">
      <c r="A223" s="168">
        <v>209</v>
      </c>
      <c r="B223" s="171">
        <f t="shared" si="24"/>
        <v>107.36432460242781</v>
      </c>
      <c r="C223" s="171">
        <f t="shared" si="25"/>
        <v>50.298215126560009</v>
      </c>
      <c r="D223" s="171">
        <f t="shared" si="26"/>
        <v>57.066109475867805</v>
      </c>
      <c r="E223" s="169">
        <f t="shared" si="28"/>
        <v>0</v>
      </c>
      <c r="F223" s="169"/>
      <c r="G223" s="170">
        <f t="shared" si="27"/>
        <v>12014.505520898536</v>
      </c>
    </row>
    <row r="224" spans="1:9">
      <c r="A224" s="168">
        <v>210</v>
      </c>
      <c r="B224" s="171">
        <f t="shared" si="24"/>
        <v>107.36432460242781</v>
      </c>
      <c r="C224" s="171">
        <f t="shared" si="25"/>
        <v>50.060439670410567</v>
      </c>
      <c r="D224" s="171">
        <f t="shared" si="26"/>
        <v>57.303884932017247</v>
      </c>
      <c r="E224" s="169">
        <f t="shared" si="28"/>
        <v>0</v>
      </c>
      <c r="F224" s="169"/>
      <c r="G224" s="170">
        <f t="shared" si="27"/>
        <v>11957.201635966519</v>
      </c>
    </row>
    <row r="225" spans="1:9">
      <c r="A225" s="168">
        <v>211</v>
      </c>
      <c r="B225" s="171">
        <f t="shared" si="24"/>
        <v>107.36432460242781</v>
      </c>
      <c r="C225" s="171">
        <f t="shared" si="25"/>
        <v>49.821673483193834</v>
      </c>
      <c r="D225" s="171">
        <f t="shared" si="26"/>
        <v>57.54265111923398</v>
      </c>
      <c r="E225" s="169">
        <f t="shared" si="28"/>
        <v>0</v>
      </c>
      <c r="F225" s="169"/>
      <c r="G225" s="170">
        <f t="shared" si="27"/>
        <v>11899.658984847285</v>
      </c>
    </row>
    <row r="226" spans="1:9">
      <c r="A226" s="168">
        <v>212</v>
      </c>
      <c r="B226" s="171">
        <f t="shared" si="24"/>
        <v>107.36432460242781</v>
      </c>
      <c r="C226" s="171">
        <f t="shared" si="25"/>
        <v>49.581912436863689</v>
      </c>
      <c r="D226" s="171">
        <f t="shared" si="26"/>
        <v>57.782412165564125</v>
      </c>
      <c r="E226" s="169">
        <f t="shared" si="28"/>
        <v>0</v>
      </c>
      <c r="F226" s="169"/>
      <c r="G226" s="170">
        <f t="shared" si="27"/>
        <v>11841.87657268172</v>
      </c>
    </row>
    <row r="227" spans="1:9">
      <c r="A227" s="168">
        <v>213</v>
      </c>
      <c r="B227" s="171">
        <f t="shared" si="24"/>
        <v>107.36432460242781</v>
      </c>
      <c r="C227" s="171">
        <f t="shared" si="25"/>
        <v>49.341152386173832</v>
      </c>
      <c r="D227" s="171">
        <f t="shared" si="26"/>
        <v>58.023172216253982</v>
      </c>
      <c r="E227" s="169">
        <f t="shared" si="28"/>
        <v>0</v>
      </c>
      <c r="F227" s="169"/>
      <c r="G227" s="170">
        <f t="shared" si="27"/>
        <v>11783.853400465467</v>
      </c>
    </row>
    <row r="228" spans="1:9">
      <c r="A228" s="168">
        <v>214</v>
      </c>
      <c r="B228" s="171">
        <f t="shared" si="24"/>
        <v>107.36432460242781</v>
      </c>
      <c r="C228" s="171">
        <f t="shared" si="25"/>
        <v>49.099389168606109</v>
      </c>
      <c r="D228" s="171">
        <f t="shared" si="26"/>
        <v>58.264935433821705</v>
      </c>
      <c r="E228" s="169">
        <f t="shared" si="28"/>
        <v>0</v>
      </c>
      <c r="F228" s="169"/>
      <c r="G228" s="170">
        <f t="shared" si="27"/>
        <v>11725.588465031646</v>
      </c>
    </row>
    <row r="229" spans="1:9">
      <c r="A229" s="168">
        <v>215</v>
      </c>
      <c r="B229" s="171">
        <f t="shared" si="24"/>
        <v>107.36432460242781</v>
      </c>
      <c r="C229" s="171">
        <f t="shared" si="25"/>
        <v>48.856618604298525</v>
      </c>
      <c r="D229" s="171">
        <f t="shared" si="26"/>
        <v>58.507705998129289</v>
      </c>
      <c r="E229" s="169">
        <f t="shared" si="28"/>
        <v>0</v>
      </c>
      <c r="F229" s="169"/>
      <c r="G229" s="170">
        <f t="shared" si="27"/>
        <v>11667.080759033517</v>
      </c>
    </row>
    <row r="230" spans="1:9">
      <c r="A230" s="168">
        <v>216</v>
      </c>
      <c r="B230" s="171">
        <f t="shared" si="24"/>
        <v>107.36432460242781</v>
      </c>
      <c r="C230" s="171">
        <f t="shared" si="25"/>
        <v>48.612836495972985</v>
      </c>
      <c r="D230" s="171">
        <f t="shared" si="26"/>
        <v>58.751488106454829</v>
      </c>
      <c r="E230" s="169">
        <f t="shared" si="28"/>
        <v>0</v>
      </c>
      <c r="F230" s="169"/>
      <c r="G230" s="170">
        <f t="shared" si="27"/>
        <v>11608.329270927063</v>
      </c>
      <c r="H230" s="182">
        <f>SUM(D219:D230)</f>
        <v>689.14871388627785</v>
      </c>
      <c r="I230">
        <f>A230/12</f>
        <v>18</v>
      </c>
    </row>
    <row r="231" spans="1:9">
      <c r="A231" s="168">
        <v>217</v>
      </c>
      <c r="B231" s="171">
        <f t="shared" si="24"/>
        <v>107.36432460242781</v>
      </c>
      <c r="C231" s="171">
        <f t="shared" si="25"/>
        <v>48.368038628862763</v>
      </c>
      <c r="D231" s="171">
        <f t="shared" si="26"/>
        <v>58.996285973565051</v>
      </c>
      <c r="E231" s="169">
        <f t="shared" si="28"/>
        <v>0</v>
      </c>
      <c r="F231" s="169"/>
      <c r="G231" s="170">
        <f t="shared" si="27"/>
        <v>11549.332984953498</v>
      </c>
    </row>
    <row r="232" spans="1:9">
      <c r="A232" s="168">
        <v>218</v>
      </c>
      <c r="B232" s="171">
        <f t="shared" si="24"/>
        <v>107.36432460242781</v>
      </c>
      <c r="C232" s="171">
        <f t="shared" si="25"/>
        <v>48.122220770639579</v>
      </c>
      <c r="D232" s="171">
        <f t="shared" si="26"/>
        <v>59.242103831788235</v>
      </c>
      <c r="E232" s="169">
        <f t="shared" si="28"/>
        <v>0</v>
      </c>
      <c r="F232" s="169"/>
      <c r="G232" s="170">
        <f t="shared" si="27"/>
        <v>11490.09088112171</v>
      </c>
    </row>
    <row r="233" spans="1:9">
      <c r="A233" s="168">
        <v>219</v>
      </c>
      <c r="B233" s="171">
        <f t="shared" si="24"/>
        <v>107.36432460242781</v>
      </c>
      <c r="C233" s="171">
        <f t="shared" si="25"/>
        <v>47.875378671340457</v>
      </c>
      <c r="D233" s="171">
        <f t="shared" si="26"/>
        <v>59.488945931087358</v>
      </c>
      <c r="E233" s="169">
        <f t="shared" si="28"/>
        <v>0</v>
      </c>
      <c r="F233" s="169"/>
      <c r="G233" s="170">
        <f t="shared" si="27"/>
        <v>11430.601935190623</v>
      </c>
    </row>
    <row r="234" spans="1:9">
      <c r="A234" s="168">
        <v>220</v>
      </c>
      <c r="B234" s="171">
        <f t="shared" si="24"/>
        <v>107.36432460242781</v>
      </c>
      <c r="C234" s="171">
        <f t="shared" si="25"/>
        <v>47.627508063294265</v>
      </c>
      <c r="D234" s="171">
        <f t="shared" si="26"/>
        <v>59.736816539133549</v>
      </c>
      <c r="E234" s="169">
        <f t="shared" si="28"/>
        <v>0</v>
      </c>
      <c r="F234" s="169"/>
      <c r="G234" s="170">
        <f t="shared" si="27"/>
        <v>11370.865118651489</v>
      </c>
    </row>
    <row r="235" spans="1:9">
      <c r="A235" s="168">
        <v>221</v>
      </c>
      <c r="B235" s="171">
        <f t="shared" si="24"/>
        <v>107.36432460242781</v>
      </c>
      <c r="C235" s="171">
        <f t="shared" si="25"/>
        <v>47.378604661047873</v>
      </c>
      <c r="D235" s="171">
        <f t="shared" si="26"/>
        <v>59.985719941379941</v>
      </c>
      <c r="E235" s="169">
        <f t="shared" si="28"/>
        <v>0</v>
      </c>
      <c r="F235" s="169"/>
      <c r="G235" s="170">
        <f t="shared" si="27"/>
        <v>11310.879398710109</v>
      </c>
    </row>
    <row r="236" spans="1:9">
      <c r="A236" s="168">
        <v>222</v>
      </c>
      <c r="B236" s="171">
        <f t="shared" si="24"/>
        <v>107.36432460242781</v>
      </c>
      <c r="C236" s="171">
        <f t="shared" si="25"/>
        <v>47.128664161292122</v>
      </c>
      <c r="D236" s="171">
        <f t="shared" si="26"/>
        <v>60.235660441135693</v>
      </c>
      <c r="E236" s="169">
        <f t="shared" si="28"/>
        <v>0</v>
      </c>
      <c r="F236" s="169"/>
      <c r="G236" s="170">
        <f t="shared" si="27"/>
        <v>11250.643738268973</v>
      </c>
    </row>
    <row r="237" spans="1:9">
      <c r="A237" s="168">
        <v>223</v>
      </c>
      <c r="B237" s="171">
        <f t="shared" si="24"/>
        <v>107.36432460242781</v>
      </c>
      <c r="C237" s="171">
        <f t="shared" si="25"/>
        <v>46.877682242787387</v>
      </c>
      <c r="D237" s="171">
        <f t="shared" si="26"/>
        <v>60.486642359640427</v>
      </c>
      <c r="E237" s="169">
        <f t="shared" si="28"/>
        <v>0</v>
      </c>
      <c r="F237" s="169"/>
      <c r="G237" s="170">
        <f t="shared" si="27"/>
        <v>11190.157095909333</v>
      </c>
    </row>
    <row r="238" spans="1:9">
      <c r="A238" s="168">
        <v>224</v>
      </c>
      <c r="B238" s="171">
        <f t="shared" si="24"/>
        <v>107.36432460242781</v>
      </c>
      <c r="C238" s="171">
        <f t="shared" si="25"/>
        <v>46.625654566288887</v>
      </c>
      <c r="D238" s="171">
        <f t="shared" si="26"/>
        <v>60.738670036138927</v>
      </c>
      <c r="E238" s="169">
        <f t="shared" si="28"/>
        <v>0</v>
      </c>
      <c r="F238" s="169"/>
      <c r="G238" s="170">
        <f t="shared" si="27"/>
        <v>11129.418425873195</v>
      </c>
    </row>
    <row r="239" spans="1:9">
      <c r="A239" s="168">
        <v>225</v>
      </c>
      <c r="B239" s="171">
        <f t="shared" si="24"/>
        <v>107.36432460242781</v>
      </c>
      <c r="C239" s="171">
        <f t="shared" si="25"/>
        <v>46.372576774471646</v>
      </c>
      <c r="D239" s="171">
        <f t="shared" si="26"/>
        <v>60.991747827956168</v>
      </c>
      <c r="E239" s="169">
        <f t="shared" si="28"/>
        <v>0</v>
      </c>
      <c r="F239" s="169"/>
      <c r="G239" s="170">
        <f t="shared" si="27"/>
        <v>11068.426678045238</v>
      </c>
    </row>
    <row r="240" spans="1:9">
      <c r="A240" s="168">
        <v>226</v>
      </c>
      <c r="B240" s="171">
        <f t="shared" si="24"/>
        <v>107.36432460242781</v>
      </c>
      <c r="C240" s="171">
        <f t="shared" si="25"/>
        <v>46.118444491855158</v>
      </c>
      <c r="D240" s="171">
        <f t="shared" si="26"/>
        <v>61.245880110572656</v>
      </c>
      <c r="E240" s="169">
        <f t="shared" si="28"/>
        <v>0</v>
      </c>
      <c r="F240" s="169"/>
      <c r="G240" s="170">
        <f t="shared" si="27"/>
        <v>11007.180797934665</v>
      </c>
    </row>
    <row r="241" spans="1:9">
      <c r="A241" s="168">
        <v>227</v>
      </c>
      <c r="B241" s="171">
        <f t="shared" si="24"/>
        <v>107.36432460242781</v>
      </c>
      <c r="C241" s="171">
        <f t="shared" si="25"/>
        <v>45.863253324727772</v>
      </c>
      <c r="D241" s="171">
        <f t="shared" si="26"/>
        <v>61.501071277700042</v>
      </c>
      <c r="E241" s="169">
        <f t="shared" si="28"/>
        <v>0</v>
      </c>
      <c r="F241" s="169"/>
      <c r="G241" s="170">
        <f t="shared" si="27"/>
        <v>10945.679726656965</v>
      </c>
    </row>
    <row r="242" spans="1:9">
      <c r="A242" s="168">
        <v>228</v>
      </c>
      <c r="B242" s="171">
        <f t="shared" si="24"/>
        <v>107.36432460242781</v>
      </c>
      <c r="C242" s="171">
        <f t="shared" si="25"/>
        <v>45.606998861070686</v>
      </c>
      <c r="D242" s="171">
        <f t="shared" si="26"/>
        <v>61.757325741357128</v>
      </c>
      <c r="E242" s="169">
        <f t="shared" si="28"/>
        <v>0</v>
      </c>
      <c r="F242" s="169"/>
      <c r="G242" s="170">
        <f t="shared" si="27"/>
        <v>10883.922400915608</v>
      </c>
      <c r="H242" s="182">
        <f>SUM(D231:D242)</f>
        <v>724.40687001145511</v>
      </c>
      <c r="I242">
        <f>A242/12</f>
        <v>19</v>
      </c>
    </row>
    <row r="243" spans="1:9">
      <c r="A243" s="168">
        <v>229</v>
      </c>
      <c r="B243" s="171">
        <f t="shared" si="24"/>
        <v>107.36432460242781</v>
      </c>
      <c r="C243" s="171">
        <f t="shared" si="25"/>
        <v>45.349676670481699</v>
      </c>
      <c r="D243" s="171">
        <f t="shared" si="26"/>
        <v>62.014647931946115</v>
      </c>
      <c r="E243" s="169">
        <f t="shared" si="28"/>
        <v>0</v>
      </c>
      <c r="F243" s="169"/>
      <c r="G243" s="170">
        <f t="shared" si="27"/>
        <v>10821.907752983661</v>
      </c>
    </row>
    <row r="244" spans="1:9">
      <c r="A244" s="168">
        <v>230</v>
      </c>
      <c r="B244" s="171">
        <f t="shared" si="24"/>
        <v>107.36432460242781</v>
      </c>
      <c r="C244" s="171">
        <f t="shared" si="25"/>
        <v>45.091282304098591</v>
      </c>
      <c r="D244" s="171">
        <f t="shared" si="26"/>
        <v>62.273042298329223</v>
      </c>
      <c r="E244" s="169">
        <f t="shared" si="28"/>
        <v>0</v>
      </c>
      <c r="F244" s="169"/>
      <c r="G244" s="170">
        <f t="shared" si="27"/>
        <v>10759.634710685332</v>
      </c>
    </row>
    <row r="245" spans="1:9">
      <c r="A245" s="168">
        <v>231</v>
      </c>
      <c r="B245" s="171">
        <f t="shared" si="24"/>
        <v>107.36432460242781</v>
      </c>
      <c r="C245" s="171">
        <f t="shared" si="25"/>
        <v>44.831811294522218</v>
      </c>
      <c r="D245" s="171">
        <f t="shared" si="26"/>
        <v>62.532513307905596</v>
      </c>
      <c r="E245" s="169">
        <f t="shared" si="28"/>
        <v>0</v>
      </c>
      <c r="F245" s="169"/>
      <c r="G245" s="170">
        <f t="shared" si="27"/>
        <v>10697.102197377426</v>
      </c>
    </row>
    <row r="246" spans="1:9">
      <c r="A246" s="168">
        <v>232</v>
      </c>
      <c r="B246" s="171">
        <f t="shared" si="24"/>
        <v>107.36432460242781</v>
      </c>
      <c r="C246" s="171">
        <f t="shared" si="25"/>
        <v>44.571259155739277</v>
      </c>
      <c r="D246" s="171">
        <f t="shared" si="26"/>
        <v>62.793065446688537</v>
      </c>
      <c r="E246" s="169">
        <f t="shared" si="28"/>
        <v>0</v>
      </c>
      <c r="F246" s="169"/>
      <c r="G246" s="170">
        <f t="shared" si="27"/>
        <v>10634.309131930737</v>
      </c>
    </row>
    <row r="247" spans="1:9">
      <c r="A247" s="168">
        <v>233</v>
      </c>
      <c r="B247" s="171">
        <f t="shared" si="24"/>
        <v>107.36432460242781</v>
      </c>
      <c r="C247" s="171">
        <f t="shared" si="25"/>
        <v>44.309621383044735</v>
      </c>
      <c r="D247" s="171">
        <f t="shared" si="26"/>
        <v>63.054703219383079</v>
      </c>
      <c r="E247" s="169">
        <f t="shared" si="28"/>
        <v>0</v>
      </c>
      <c r="F247" s="169"/>
      <c r="G247" s="170">
        <f t="shared" si="27"/>
        <v>10571.254428711354</v>
      </c>
    </row>
    <row r="248" spans="1:9">
      <c r="A248" s="168">
        <v>234</v>
      </c>
      <c r="B248" s="171">
        <f t="shared" si="24"/>
        <v>107.36432460242781</v>
      </c>
      <c r="C248" s="171">
        <f t="shared" si="25"/>
        <v>44.046893452963978</v>
      </c>
      <c r="D248" s="171">
        <f t="shared" si="26"/>
        <v>63.317431149463836</v>
      </c>
      <c r="E248" s="169">
        <f t="shared" si="28"/>
        <v>0</v>
      </c>
      <c r="F248" s="169"/>
      <c r="G248" s="170">
        <f t="shared" si="27"/>
        <v>10507.93699756189</v>
      </c>
    </row>
    <row r="249" spans="1:9">
      <c r="A249" s="168">
        <v>235</v>
      </c>
      <c r="B249" s="171">
        <f t="shared" si="24"/>
        <v>107.36432460242781</v>
      </c>
      <c r="C249" s="171">
        <f t="shared" si="25"/>
        <v>43.78307082317454</v>
      </c>
      <c r="D249" s="171">
        <f t="shared" si="26"/>
        <v>63.581253779253274</v>
      </c>
      <c r="E249" s="169">
        <f t="shared" si="28"/>
        <v>0</v>
      </c>
      <c r="F249" s="169"/>
      <c r="G249" s="170">
        <f t="shared" si="27"/>
        <v>10444.355743782637</v>
      </c>
    </row>
    <row r="250" spans="1:9">
      <c r="A250" s="168">
        <v>236</v>
      </c>
      <c r="B250" s="171">
        <f t="shared" si="24"/>
        <v>107.36432460242781</v>
      </c>
      <c r="C250" s="171">
        <f t="shared" si="25"/>
        <v>43.51814893242765</v>
      </c>
      <c r="D250" s="171">
        <f t="shared" si="26"/>
        <v>63.846175670000164</v>
      </c>
      <c r="E250" s="169">
        <f t="shared" si="28"/>
        <v>0</v>
      </c>
      <c r="F250" s="169"/>
      <c r="G250" s="170">
        <f t="shared" si="27"/>
        <v>10380.509568112637</v>
      </c>
    </row>
    <row r="251" spans="1:9">
      <c r="A251" s="168">
        <v>237</v>
      </c>
      <c r="B251" s="171">
        <f t="shared" si="24"/>
        <v>107.36432460242781</v>
      </c>
      <c r="C251" s="171">
        <f t="shared" si="25"/>
        <v>43.25212320046932</v>
      </c>
      <c r="D251" s="171">
        <f t="shared" si="26"/>
        <v>64.112201401958487</v>
      </c>
      <c r="E251" s="169">
        <f t="shared" si="28"/>
        <v>0</v>
      </c>
      <c r="F251" s="169"/>
      <c r="G251" s="170">
        <f t="shared" si="27"/>
        <v>10316.397366710678</v>
      </c>
    </row>
    <row r="252" spans="1:9">
      <c r="A252" s="168">
        <v>238</v>
      </c>
      <c r="B252" s="171">
        <f t="shared" si="24"/>
        <v>107.36432460242781</v>
      </c>
      <c r="C252" s="171">
        <f t="shared" si="25"/>
        <v>42.984989027961163</v>
      </c>
      <c r="D252" s="171">
        <f t="shared" si="26"/>
        <v>64.379335574466651</v>
      </c>
      <c r="E252" s="169">
        <f t="shared" si="28"/>
        <v>0</v>
      </c>
      <c r="F252" s="169"/>
      <c r="G252" s="170">
        <f t="shared" si="27"/>
        <v>10252.018031136211</v>
      </c>
    </row>
    <row r="253" spans="1:9">
      <c r="A253" s="168">
        <v>239</v>
      </c>
      <c r="B253" s="171">
        <f t="shared" si="24"/>
        <v>107.36432460242781</v>
      </c>
      <c r="C253" s="171">
        <f t="shared" si="25"/>
        <v>42.716741796400882</v>
      </c>
      <c r="D253" s="171">
        <f t="shared" si="26"/>
        <v>64.647582806026932</v>
      </c>
      <c r="E253" s="169">
        <f t="shared" si="28"/>
        <v>0</v>
      </c>
      <c r="F253" s="169"/>
      <c r="G253" s="170">
        <f t="shared" si="27"/>
        <v>10187.370448330184</v>
      </c>
    </row>
    <row r="254" spans="1:9">
      <c r="A254" s="168">
        <v>240</v>
      </c>
      <c r="B254" s="171">
        <f t="shared" si="24"/>
        <v>107.36432460242781</v>
      </c>
      <c r="C254" s="171">
        <f t="shared" si="25"/>
        <v>42.447376868042433</v>
      </c>
      <c r="D254" s="171">
        <f t="shared" si="26"/>
        <v>64.916947734385388</v>
      </c>
      <c r="E254" s="169">
        <f t="shared" si="28"/>
        <v>0</v>
      </c>
      <c r="F254" s="169"/>
      <c r="G254" s="170">
        <f t="shared" si="27"/>
        <v>10122.453500595799</v>
      </c>
      <c r="H254" s="182">
        <f>SUM(D243:D254)</f>
        <v>761.46890031980718</v>
      </c>
      <c r="I254">
        <f>A254/12</f>
        <v>20</v>
      </c>
    </row>
    <row r="255" spans="1:9">
      <c r="A255" s="168">
        <v>241</v>
      </c>
      <c r="B255" s="171">
        <f t="shared" si="24"/>
        <v>107.36432460242781</v>
      </c>
      <c r="C255" s="171">
        <f t="shared" si="25"/>
        <v>42.176889585815829</v>
      </c>
      <c r="D255" s="171">
        <f t="shared" si="26"/>
        <v>65.187435016611985</v>
      </c>
      <c r="E255" s="169">
        <f t="shared" si="28"/>
        <v>0</v>
      </c>
      <c r="F255" s="169"/>
      <c r="G255" s="170">
        <f t="shared" si="27"/>
        <v>10057.266065579186</v>
      </c>
    </row>
    <row r="256" spans="1:9">
      <c r="A256" s="168">
        <v>242</v>
      </c>
      <c r="B256" s="171">
        <f t="shared" si="24"/>
        <v>107.36432460242781</v>
      </c>
      <c r="C256" s="171">
        <f t="shared" si="25"/>
        <v>41.905275273246609</v>
      </c>
      <c r="D256" s="171">
        <f t="shared" si="26"/>
        <v>65.459049329181198</v>
      </c>
      <c r="E256" s="169">
        <f t="shared" si="28"/>
        <v>0</v>
      </c>
      <c r="F256" s="169"/>
      <c r="G256" s="170">
        <f t="shared" si="27"/>
        <v>9991.8070162500044</v>
      </c>
    </row>
    <row r="257" spans="1:9">
      <c r="A257" s="168">
        <v>243</v>
      </c>
      <c r="B257" s="171">
        <f t="shared" si="24"/>
        <v>107.36432460242781</v>
      </c>
      <c r="C257" s="171">
        <f t="shared" si="25"/>
        <v>41.632529234375021</v>
      </c>
      <c r="D257" s="171">
        <f t="shared" si="26"/>
        <v>65.731795368052786</v>
      </c>
      <c r="E257" s="169">
        <f t="shared" si="28"/>
        <v>0</v>
      </c>
      <c r="F257" s="169"/>
      <c r="G257" s="170">
        <f t="shared" si="27"/>
        <v>9926.0752208819522</v>
      </c>
    </row>
    <row r="258" spans="1:9">
      <c r="A258" s="168">
        <v>244</v>
      </c>
      <c r="B258" s="171">
        <f t="shared" si="24"/>
        <v>107.36432460242781</v>
      </c>
      <c r="C258" s="171">
        <f t="shared" si="25"/>
        <v>41.358646753674797</v>
      </c>
      <c r="D258" s="171">
        <f t="shared" si="26"/>
        <v>66.00567784875301</v>
      </c>
      <c r="E258" s="169">
        <f t="shared" si="28"/>
        <v>0</v>
      </c>
      <c r="F258" s="169"/>
      <c r="G258" s="170">
        <f t="shared" si="27"/>
        <v>9860.0695430331998</v>
      </c>
    </row>
    <row r="259" spans="1:9">
      <c r="A259" s="168">
        <v>245</v>
      </c>
      <c r="B259" s="171">
        <f t="shared" si="24"/>
        <v>107.36432460242781</v>
      </c>
      <c r="C259" s="171">
        <f t="shared" si="25"/>
        <v>41.083623095971667</v>
      </c>
      <c r="D259" s="171">
        <f t="shared" si="26"/>
        <v>66.280701506456154</v>
      </c>
      <c r="E259" s="169">
        <f t="shared" si="28"/>
        <v>0</v>
      </c>
      <c r="F259" s="169"/>
      <c r="G259" s="170">
        <f t="shared" si="27"/>
        <v>9793.7888415267444</v>
      </c>
    </row>
    <row r="260" spans="1:9">
      <c r="A260" s="168">
        <v>246</v>
      </c>
      <c r="B260" s="171">
        <f t="shared" si="24"/>
        <v>107.36432460242781</v>
      </c>
      <c r="C260" s="171">
        <f t="shared" si="25"/>
        <v>40.807453506361433</v>
      </c>
      <c r="D260" s="171">
        <f t="shared" si="26"/>
        <v>66.556871096066374</v>
      </c>
      <c r="E260" s="169">
        <f t="shared" si="28"/>
        <v>0</v>
      </c>
      <c r="F260" s="169"/>
      <c r="G260" s="170">
        <f t="shared" si="27"/>
        <v>9727.2319704306774</v>
      </c>
    </row>
    <row r="261" spans="1:9">
      <c r="A261" s="168">
        <v>247</v>
      </c>
      <c r="B261" s="171">
        <f t="shared" si="24"/>
        <v>107.36432460242781</v>
      </c>
      <c r="C261" s="171">
        <f t="shared" si="25"/>
        <v>40.530133210127822</v>
      </c>
      <c r="D261" s="171">
        <f t="shared" si="26"/>
        <v>66.834191392299999</v>
      </c>
      <c r="E261" s="169">
        <f t="shared" si="28"/>
        <v>0</v>
      </c>
      <c r="F261" s="169"/>
      <c r="G261" s="170">
        <f t="shared" si="27"/>
        <v>9660.3977790383778</v>
      </c>
    </row>
    <row r="262" spans="1:9">
      <c r="A262" s="168">
        <v>248</v>
      </c>
      <c r="B262" s="171">
        <f t="shared" si="24"/>
        <v>107.36432460242781</v>
      </c>
      <c r="C262" s="171">
        <f t="shared" si="25"/>
        <v>40.25165741265991</v>
      </c>
      <c r="D262" s="171">
        <f t="shared" si="26"/>
        <v>67.112667189767905</v>
      </c>
      <c r="E262" s="169">
        <f t="shared" si="28"/>
        <v>0</v>
      </c>
      <c r="F262" s="169"/>
      <c r="G262" s="170">
        <f t="shared" si="27"/>
        <v>9593.2851118486105</v>
      </c>
    </row>
    <row r="263" spans="1:9">
      <c r="A263" s="168">
        <v>249</v>
      </c>
      <c r="B263" s="171">
        <f t="shared" si="24"/>
        <v>107.36432460242781</v>
      </c>
      <c r="C263" s="171">
        <f t="shared" si="25"/>
        <v>39.97202129936921</v>
      </c>
      <c r="D263" s="171">
        <f t="shared" si="26"/>
        <v>67.392303303058611</v>
      </c>
      <c r="E263" s="169">
        <f t="shared" si="28"/>
        <v>0</v>
      </c>
      <c r="F263" s="169"/>
      <c r="G263" s="170">
        <f t="shared" si="27"/>
        <v>9525.8928085455518</v>
      </c>
    </row>
    <row r="264" spans="1:9">
      <c r="A264" s="168">
        <v>250</v>
      </c>
      <c r="B264" s="171">
        <f t="shared" si="24"/>
        <v>107.36432460242781</v>
      </c>
      <c r="C264" s="171">
        <f t="shared" si="25"/>
        <v>39.691220035606463</v>
      </c>
      <c r="D264" s="171">
        <f t="shared" si="26"/>
        <v>67.673104566821351</v>
      </c>
      <c r="E264" s="169">
        <f t="shared" si="28"/>
        <v>0</v>
      </c>
      <c r="F264" s="169"/>
      <c r="G264" s="170">
        <f t="shared" si="27"/>
        <v>9458.2197039787297</v>
      </c>
    </row>
    <row r="265" spans="1:9">
      <c r="A265" s="168">
        <v>251</v>
      </c>
      <c r="B265" s="171">
        <f t="shared" si="24"/>
        <v>107.36432460242781</v>
      </c>
      <c r="C265" s="171">
        <f t="shared" si="25"/>
        <v>39.409248766578038</v>
      </c>
      <c r="D265" s="171">
        <f t="shared" si="26"/>
        <v>67.955075835849783</v>
      </c>
      <c r="E265" s="169">
        <f t="shared" si="28"/>
        <v>0</v>
      </c>
      <c r="F265" s="169"/>
      <c r="G265" s="170">
        <f t="shared" si="27"/>
        <v>9390.2646281428806</v>
      </c>
    </row>
    <row r="266" spans="1:9">
      <c r="A266" s="168">
        <v>252</v>
      </c>
      <c r="B266" s="171">
        <f t="shared" si="24"/>
        <v>107.36432460242781</v>
      </c>
      <c r="C266" s="171">
        <f t="shared" si="25"/>
        <v>39.126102617261999</v>
      </c>
      <c r="D266" s="171">
        <f t="shared" si="26"/>
        <v>68.238221985165808</v>
      </c>
      <c r="E266" s="169">
        <f t="shared" si="28"/>
        <v>0</v>
      </c>
      <c r="F266" s="169"/>
      <c r="G266" s="170">
        <f t="shared" si="27"/>
        <v>9322.0264061577145</v>
      </c>
      <c r="H266" s="182">
        <f>SUM(D255:D266)</f>
        <v>800.42709443808508</v>
      </c>
      <c r="I266">
        <f>A266/12</f>
        <v>21</v>
      </c>
    </row>
    <row r="267" spans="1:9">
      <c r="A267" s="168">
        <v>253</v>
      </c>
      <c r="B267" s="171">
        <f t="shared" si="24"/>
        <v>107.36432460242781</v>
      </c>
      <c r="C267" s="171">
        <f t="shared" si="25"/>
        <v>38.841776692323812</v>
      </c>
      <c r="D267" s="171">
        <f t="shared" si="26"/>
        <v>68.522547910104009</v>
      </c>
      <c r="E267" s="169">
        <f t="shared" si="28"/>
        <v>0</v>
      </c>
      <c r="F267" s="169"/>
      <c r="G267" s="170">
        <f t="shared" si="27"/>
        <v>9253.50385824761</v>
      </c>
    </row>
    <row r="268" spans="1:9">
      <c r="A268" s="168">
        <v>254</v>
      </c>
      <c r="B268" s="171">
        <f t="shared" si="24"/>
        <v>107.36432460242781</v>
      </c>
      <c r="C268" s="171">
        <f t="shared" si="25"/>
        <v>38.556266076031704</v>
      </c>
      <c r="D268" s="171">
        <f t="shared" si="26"/>
        <v>68.80805852639611</v>
      </c>
      <c r="E268" s="169">
        <f t="shared" si="28"/>
        <v>0</v>
      </c>
      <c r="F268" s="169"/>
      <c r="G268" s="170">
        <f t="shared" si="27"/>
        <v>9184.6957997212139</v>
      </c>
    </row>
    <row r="269" spans="1:9">
      <c r="A269" s="168">
        <v>255</v>
      </c>
      <c r="B269" s="171">
        <f t="shared" si="24"/>
        <v>107.36432460242781</v>
      </c>
      <c r="C269" s="171">
        <f t="shared" si="25"/>
        <v>38.269565832171722</v>
      </c>
      <c r="D269" s="171">
        <f t="shared" si="26"/>
        <v>69.094758770256092</v>
      </c>
      <c r="E269" s="169">
        <f t="shared" si="28"/>
        <v>0</v>
      </c>
      <c r="F269" s="169"/>
      <c r="G269" s="170">
        <f t="shared" si="27"/>
        <v>9115.6010409509581</v>
      </c>
    </row>
    <row r="270" spans="1:9">
      <c r="A270" s="168">
        <v>256</v>
      </c>
      <c r="B270" s="171">
        <f t="shared" si="24"/>
        <v>107.36432460242781</v>
      </c>
      <c r="C270" s="171">
        <f t="shared" si="25"/>
        <v>37.981671003962326</v>
      </c>
      <c r="D270" s="171">
        <f t="shared" si="26"/>
        <v>69.382653598465481</v>
      </c>
      <c r="E270" s="169">
        <f t="shared" si="28"/>
        <v>0</v>
      </c>
      <c r="F270" s="169"/>
      <c r="G270" s="170">
        <f t="shared" si="27"/>
        <v>9046.2183873524918</v>
      </c>
    </row>
    <row r="271" spans="1:9">
      <c r="A271" s="168">
        <v>257</v>
      </c>
      <c r="B271" s="171">
        <f t="shared" si="24"/>
        <v>107.36432460242781</v>
      </c>
      <c r="C271" s="171">
        <f t="shared" si="25"/>
        <v>37.692576613968718</v>
      </c>
      <c r="D271" s="171">
        <f t="shared" si="26"/>
        <v>69.671747988459089</v>
      </c>
      <c r="E271" s="169">
        <f t="shared" si="28"/>
        <v>0</v>
      </c>
      <c r="F271" s="169"/>
      <c r="G271" s="170">
        <f t="shared" si="27"/>
        <v>8976.5466393640327</v>
      </c>
    </row>
    <row r="272" spans="1:9">
      <c r="A272" s="168">
        <v>258</v>
      </c>
      <c r="B272" s="171">
        <f t="shared" ref="B272:B335" si="29">IF($B$6&lt;=G271,$B$6,G271+G271*$B$4/$B$5)</f>
        <v>107.36432460242781</v>
      </c>
      <c r="C272" s="171">
        <f t="shared" ref="C272:C335" si="30">IF(B272&gt;0,$B$4/$B$5*G271,0)</f>
        <v>37.4022776640168</v>
      </c>
      <c r="D272" s="171">
        <f t="shared" ref="D272:D335" si="31">IF(B272&gt;0,MIN(B272-C272,G271),0)</f>
        <v>69.962046938411021</v>
      </c>
      <c r="E272" s="169">
        <f t="shared" si="28"/>
        <v>0</v>
      </c>
      <c r="F272" s="169"/>
      <c r="G272" s="170">
        <f t="shared" ref="G272:G335" si="32">IF(ROUND(G271,5)&gt;0,G271-D272-E272,0)</f>
        <v>8906.5845924256209</v>
      </c>
    </row>
    <row r="273" spans="1:9">
      <c r="A273" s="168">
        <v>259</v>
      </c>
      <c r="B273" s="171">
        <f t="shared" si="29"/>
        <v>107.36432460242781</v>
      </c>
      <c r="C273" s="171">
        <f t="shared" si="30"/>
        <v>37.11076913510675</v>
      </c>
      <c r="D273" s="171">
        <f t="shared" si="31"/>
        <v>70.253555467321064</v>
      </c>
      <c r="E273" s="169">
        <f t="shared" si="28"/>
        <v>0</v>
      </c>
      <c r="F273" s="169"/>
      <c r="G273" s="170">
        <f t="shared" si="32"/>
        <v>8836.3310369582996</v>
      </c>
    </row>
    <row r="274" spans="1:9">
      <c r="A274" s="168">
        <v>260</v>
      </c>
      <c r="B274" s="171">
        <f t="shared" si="29"/>
        <v>107.36432460242781</v>
      </c>
      <c r="C274" s="171">
        <f t="shared" si="30"/>
        <v>36.818045987326251</v>
      </c>
      <c r="D274" s="171">
        <f t="shared" si="31"/>
        <v>70.546278615101556</v>
      </c>
      <c r="E274" s="169">
        <f t="shared" si="28"/>
        <v>0</v>
      </c>
      <c r="F274" s="169"/>
      <c r="G274" s="170">
        <f t="shared" si="32"/>
        <v>8765.7847583431976</v>
      </c>
    </row>
    <row r="275" spans="1:9">
      <c r="A275" s="168">
        <v>261</v>
      </c>
      <c r="B275" s="171">
        <f t="shared" si="29"/>
        <v>107.36432460242781</v>
      </c>
      <c r="C275" s="171">
        <f t="shared" si="30"/>
        <v>36.524103159763321</v>
      </c>
      <c r="D275" s="171">
        <f t="shared" si="31"/>
        <v>70.8402214426645</v>
      </c>
      <c r="E275" s="169">
        <f t="shared" si="28"/>
        <v>0</v>
      </c>
      <c r="F275" s="169"/>
      <c r="G275" s="170">
        <f t="shared" si="32"/>
        <v>8694.9445369005334</v>
      </c>
    </row>
    <row r="276" spans="1:9">
      <c r="A276" s="168">
        <v>262</v>
      </c>
      <c r="B276" s="171">
        <f t="shared" si="29"/>
        <v>107.36432460242781</v>
      </c>
      <c r="C276" s="171">
        <f t="shared" si="30"/>
        <v>36.228935570418891</v>
      </c>
      <c r="D276" s="171">
        <f t="shared" si="31"/>
        <v>71.135389032008931</v>
      </c>
      <c r="E276" s="169">
        <f t="shared" ref="E276:E339" si="33">IF(G275-D276&gt;=$B$7,$B$7,G275-D276)</f>
        <v>0</v>
      </c>
      <c r="F276" s="169"/>
      <c r="G276" s="170">
        <f t="shared" si="32"/>
        <v>8623.8091478685237</v>
      </c>
    </row>
    <row r="277" spans="1:9">
      <c r="A277" s="168">
        <v>263</v>
      </c>
      <c r="B277" s="171">
        <f t="shared" si="29"/>
        <v>107.36432460242781</v>
      </c>
      <c r="C277" s="171">
        <f t="shared" si="30"/>
        <v>35.932538116118849</v>
      </c>
      <c r="D277" s="171">
        <f t="shared" si="31"/>
        <v>71.431786486308965</v>
      </c>
      <c r="E277" s="169">
        <f t="shared" si="33"/>
        <v>0</v>
      </c>
      <c r="F277" s="169"/>
      <c r="G277" s="170">
        <f t="shared" si="32"/>
        <v>8552.3773613822141</v>
      </c>
    </row>
    <row r="278" spans="1:9">
      <c r="A278" s="168">
        <v>264</v>
      </c>
      <c r="B278" s="171">
        <f t="shared" si="29"/>
        <v>107.36432460242781</v>
      </c>
      <c r="C278" s="171">
        <f t="shared" si="30"/>
        <v>35.634905672425894</v>
      </c>
      <c r="D278" s="171">
        <f t="shared" si="31"/>
        <v>71.729418930001913</v>
      </c>
      <c r="E278" s="169">
        <f t="shared" si="33"/>
        <v>0</v>
      </c>
      <c r="F278" s="169"/>
      <c r="G278" s="170">
        <f t="shared" si="32"/>
        <v>8480.6479424522113</v>
      </c>
      <c r="H278" s="182">
        <f>SUM(D267:D278)</f>
        <v>841.3784637054988</v>
      </c>
      <c r="I278">
        <f>A278/12</f>
        <v>22</v>
      </c>
    </row>
    <row r="279" spans="1:9">
      <c r="A279" s="168">
        <v>265</v>
      </c>
      <c r="B279" s="171">
        <f t="shared" si="29"/>
        <v>107.36432460242781</v>
      </c>
      <c r="C279" s="171">
        <f t="shared" si="30"/>
        <v>35.336033093550881</v>
      </c>
      <c r="D279" s="171">
        <f t="shared" si="31"/>
        <v>72.028291508876933</v>
      </c>
      <c r="E279" s="169">
        <f t="shared" si="33"/>
        <v>0</v>
      </c>
      <c r="F279" s="169"/>
      <c r="G279" s="170">
        <f t="shared" si="32"/>
        <v>8408.6196509433339</v>
      </c>
    </row>
    <row r="280" spans="1:9">
      <c r="A280" s="168">
        <v>266</v>
      </c>
      <c r="B280" s="171">
        <f t="shared" si="29"/>
        <v>107.36432460242781</v>
      </c>
      <c r="C280" s="171">
        <f t="shared" si="30"/>
        <v>35.035915212263887</v>
      </c>
      <c r="D280" s="171">
        <f t="shared" si="31"/>
        <v>72.328409390163927</v>
      </c>
      <c r="E280" s="169">
        <f t="shared" si="33"/>
        <v>0</v>
      </c>
      <c r="F280" s="169"/>
      <c r="G280" s="170">
        <f t="shared" si="32"/>
        <v>8336.29124155317</v>
      </c>
    </row>
    <row r="281" spans="1:9">
      <c r="A281" s="168">
        <v>267</v>
      </c>
      <c r="B281" s="171">
        <f t="shared" si="29"/>
        <v>107.36432460242781</v>
      </c>
      <c r="C281" s="171">
        <f t="shared" si="30"/>
        <v>34.734546839804878</v>
      </c>
      <c r="D281" s="171">
        <f t="shared" si="31"/>
        <v>72.629777762622936</v>
      </c>
      <c r="E281" s="169">
        <f t="shared" si="33"/>
        <v>0</v>
      </c>
      <c r="F281" s="169"/>
      <c r="G281" s="170">
        <f t="shared" si="32"/>
        <v>8263.6614637905477</v>
      </c>
    </row>
    <row r="282" spans="1:9">
      <c r="A282" s="168">
        <v>268</v>
      </c>
      <c r="B282" s="171">
        <f t="shared" si="29"/>
        <v>107.36432460242781</v>
      </c>
      <c r="C282" s="171">
        <f t="shared" si="30"/>
        <v>34.431922765793949</v>
      </c>
      <c r="D282" s="171">
        <f t="shared" si="31"/>
        <v>72.932401836633858</v>
      </c>
      <c r="E282" s="169">
        <f t="shared" si="33"/>
        <v>0</v>
      </c>
      <c r="F282" s="169"/>
      <c r="G282" s="170">
        <f t="shared" si="32"/>
        <v>8190.7290619539135</v>
      </c>
    </row>
    <row r="283" spans="1:9">
      <c r="A283" s="168">
        <v>269</v>
      </c>
      <c r="B283" s="171">
        <f t="shared" si="29"/>
        <v>107.36432460242781</v>
      </c>
      <c r="C283" s="171">
        <f t="shared" si="30"/>
        <v>34.128037758141303</v>
      </c>
      <c r="D283" s="171">
        <f t="shared" si="31"/>
        <v>73.236286844286511</v>
      </c>
      <c r="E283" s="169">
        <f t="shared" si="33"/>
        <v>0</v>
      </c>
      <c r="F283" s="169"/>
      <c r="G283" s="170">
        <f t="shared" si="32"/>
        <v>8117.4927751096266</v>
      </c>
    </row>
    <row r="284" spans="1:9">
      <c r="A284" s="168">
        <v>270</v>
      </c>
      <c r="B284" s="171">
        <f t="shared" si="29"/>
        <v>107.36432460242781</v>
      </c>
      <c r="C284" s="171">
        <f t="shared" si="30"/>
        <v>33.822886562956775</v>
      </c>
      <c r="D284" s="171">
        <f t="shared" si="31"/>
        <v>73.541438039471046</v>
      </c>
      <c r="E284" s="169">
        <f t="shared" si="33"/>
        <v>0</v>
      </c>
      <c r="F284" s="169"/>
      <c r="G284" s="170">
        <f t="shared" si="32"/>
        <v>8043.9513370701552</v>
      </c>
    </row>
    <row r="285" spans="1:9">
      <c r="A285" s="168">
        <v>271</v>
      </c>
      <c r="B285" s="171">
        <f t="shared" si="29"/>
        <v>107.36432460242781</v>
      </c>
      <c r="C285" s="171">
        <f t="shared" si="30"/>
        <v>33.51646390445898</v>
      </c>
      <c r="D285" s="171">
        <f t="shared" si="31"/>
        <v>73.847860697968827</v>
      </c>
      <c r="E285" s="169">
        <f t="shared" si="33"/>
        <v>0</v>
      </c>
      <c r="F285" s="169"/>
      <c r="G285" s="170">
        <f t="shared" si="32"/>
        <v>7970.1034763721864</v>
      </c>
    </row>
    <row r="286" spans="1:9">
      <c r="A286" s="168">
        <v>272</v>
      </c>
      <c r="B286" s="171">
        <f t="shared" si="29"/>
        <v>107.36432460242781</v>
      </c>
      <c r="C286" s="171">
        <f t="shared" si="30"/>
        <v>33.208764484884107</v>
      </c>
      <c r="D286" s="171">
        <f t="shared" si="31"/>
        <v>74.1555601175437</v>
      </c>
      <c r="E286" s="169">
        <f t="shared" si="33"/>
        <v>0</v>
      </c>
      <c r="F286" s="169"/>
      <c r="G286" s="170">
        <f t="shared" si="32"/>
        <v>7895.9479162546431</v>
      </c>
    </row>
    <row r="287" spans="1:9">
      <c r="A287" s="168">
        <v>273</v>
      </c>
      <c r="B287" s="171">
        <f t="shared" si="29"/>
        <v>107.36432460242781</v>
      </c>
      <c r="C287" s="171">
        <f t="shared" si="30"/>
        <v>32.899782984394349</v>
      </c>
      <c r="D287" s="171">
        <f t="shared" si="31"/>
        <v>74.464541618033465</v>
      </c>
      <c r="E287" s="169">
        <f t="shared" si="33"/>
        <v>0</v>
      </c>
      <c r="F287" s="169"/>
      <c r="G287" s="170">
        <f t="shared" si="32"/>
        <v>7821.4833746366094</v>
      </c>
    </row>
    <row r="288" spans="1:9">
      <c r="A288" s="168">
        <v>274</v>
      </c>
      <c r="B288" s="171">
        <f t="shared" si="29"/>
        <v>107.36432460242781</v>
      </c>
      <c r="C288" s="171">
        <f t="shared" si="30"/>
        <v>32.58951406098587</v>
      </c>
      <c r="D288" s="171">
        <f t="shared" si="31"/>
        <v>74.774810541441951</v>
      </c>
      <c r="E288" s="169">
        <f t="shared" si="33"/>
        <v>0</v>
      </c>
      <c r="F288" s="169"/>
      <c r="G288" s="170">
        <f t="shared" si="32"/>
        <v>7746.7085640951673</v>
      </c>
    </row>
    <row r="289" spans="1:9">
      <c r="A289" s="168">
        <v>275</v>
      </c>
      <c r="B289" s="171">
        <f t="shared" si="29"/>
        <v>107.36432460242781</v>
      </c>
      <c r="C289" s="171">
        <f t="shared" si="30"/>
        <v>32.277952350396532</v>
      </c>
      <c r="D289" s="171">
        <f t="shared" si="31"/>
        <v>75.086372252031282</v>
      </c>
      <c r="E289" s="169">
        <f t="shared" si="33"/>
        <v>0</v>
      </c>
      <c r="F289" s="169"/>
      <c r="G289" s="170">
        <f t="shared" si="32"/>
        <v>7671.6221918431356</v>
      </c>
    </row>
    <row r="290" spans="1:9">
      <c r="A290" s="168">
        <v>276</v>
      </c>
      <c r="B290" s="171">
        <f t="shared" si="29"/>
        <v>107.36432460242781</v>
      </c>
      <c r="C290" s="171">
        <f t="shared" si="30"/>
        <v>31.965092466013065</v>
      </c>
      <c r="D290" s="171">
        <f t="shared" si="31"/>
        <v>75.399232136414753</v>
      </c>
      <c r="E290" s="169">
        <f t="shared" si="33"/>
        <v>0</v>
      </c>
      <c r="F290" s="169"/>
      <c r="G290" s="170">
        <f t="shared" si="32"/>
        <v>7596.2229597067208</v>
      </c>
      <c r="H290" s="182">
        <f>SUM(D279:D290)</f>
        <v>884.42498274548916</v>
      </c>
      <c r="I290">
        <f>A290/12</f>
        <v>23</v>
      </c>
    </row>
    <row r="291" spans="1:9">
      <c r="A291" s="168">
        <v>277</v>
      </c>
      <c r="B291" s="171">
        <f t="shared" si="29"/>
        <v>107.36432460242781</v>
      </c>
      <c r="C291" s="171">
        <f t="shared" si="30"/>
        <v>31.650928998778003</v>
      </c>
      <c r="D291" s="171">
        <f t="shared" si="31"/>
        <v>75.713395603649815</v>
      </c>
      <c r="E291" s="169">
        <f t="shared" si="33"/>
        <v>0</v>
      </c>
      <c r="F291" s="169"/>
      <c r="G291" s="170">
        <f t="shared" si="32"/>
        <v>7520.5095641030712</v>
      </c>
    </row>
    <row r="292" spans="1:9">
      <c r="A292" s="168">
        <v>278</v>
      </c>
      <c r="B292" s="171">
        <f t="shared" si="29"/>
        <v>107.36432460242781</v>
      </c>
      <c r="C292" s="171">
        <f t="shared" si="30"/>
        <v>31.33545651709613</v>
      </c>
      <c r="D292" s="171">
        <f t="shared" si="31"/>
        <v>76.028868085331681</v>
      </c>
      <c r="E292" s="169">
        <f t="shared" si="33"/>
        <v>0</v>
      </c>
      <c r="F292" s="169"/>
      <c r="G292" s="170">
        <f t="shared" si="32"/>
        <v>7444.4806960177393</v>
      </c>
    </row>
    <row r="293" spans="1:9">
      <c r="A293" s="168">
        <v>279</v>
      </c>
      <c r="B293" s="171">
        <f t="shared" si="29"/>
        <v>107.36432460242781</v>
      </c>
      <c r="C293" s="171">
        <f t="shared" si="30"/>
        <v>31.018669566740581</v>
      </c>
      <c r="D293" s="171">
        <f t="shared" si="31"/>
        <v>76.34565503568723</v>
      </c>
      <c r="E293" s="169">
        <f t="shared" si="33"/>
        <v>0</v>
      </c>
      <c r="F293" s="169"/>
      <c r="G293" s="170">
        <f t="shared" si="32"/>
        <v>7368.1350409820525</v>
      </c>
    </row>
    <row r="294" spans="1:9">
      <c r="A294" s="168">
        <v>280</v>
      </c>
      <c r="B294" s="171">
        <f t="shared" si="29"/>
        <v>107.36432460242781</v>
      </c>
      <c r="C294" s="171">
        <f t="shared" si="30"/>
        <v>30.700562670758551</v>
      </c>
      <c r="D294" s="171">
        <f t="shared" si="31"/>
        <v>76.663761931669256</v>
      </c>
      <c r="E294" s="169">
        <f t="shared" si="33"/>
        <v>0</v>
      </c>
      <c r="F294" s="169"/>
      <c r="G294" s="170">
        <f t="shared" si="32"/>
        <v>7291.4712790503836</v>
      </c>
    </row>
    <row r="295" spans="1:9">
      <c r="A295" s="168">
        <v>281</v>
      </c>
      <c r="B295" s="171">
        <f t="shared" si="29"/>
        <v>107.36432460242781</v>
      </c>
      <c r="C295" s="171">
        <f t="shared" si="30"/>
        <v>30.3811303293766</v>
      </c>
      <c r="D295" s="171">
        <f t="shared" si="31"/>
        <v>76.983194273051211</v>
      </c>
      <c r="E295" s="169">
        <f t="shared" si="33"/>
        <v>0</v>
      </c>
      <c r="F295" s="169"/>
      <c r="G295" s="170">
        <f t="shared" si="32"/>
        <v>7214.488084777332</v>
      </c>
    </row>
    <row r="296" spans="1:9">
      <c r="A296" s="168">
        <v>282</v>
      </c>
      <c r="B296" s="171">
        <f t="shared" si="29"/>
        <v>107.36432460242781</v>
      </c>
      <c r="C296" s="171">
        <f t="shared" si="30"/>
        <v>30.060367019905549</v>
      </c>
      <c r="D296" s="171">
        <f t="shared" si="31"/>
        <v>77.303957582522258</v>
      </c>
      <c r="E296" s="169">
        <f t="shared" si="33"/>
        <v>0</v>
      </c>
      <c r="F296" s="169"/>
      <c r="G296" s="170">
        <f t="shared" si="32"/>
        <v>7137.1841271948097</v>
      </c>
    </row>
    <row r="297" spans="1:9">
      <c r="A297" s="168">
        <v>283</v>
      </c>
      <c r="B297" s="171">
        <f t="shared" si="29"/>
        <v>107.36432460242781</v>
      </c>
      <c r="C297" s="171">
        <f t="shared" si="30"/>
        <v>29.73826719664504</v>
      </c>
      <c r="D297" s="171">
        <f t="shared" si="31"/>
        <v>77.626057405782774</v>
      </c>
      <c r="E297" s="169">
        <f t="shared" si="33"/>
        <v>0</v>
      </c>
      <c r="F297" s="169"/>
      <c r="G297" s="170">
        <f t="shared" si="32"/>
        <v>7059.5580697890273</v>
      </c>
    </row>
    <row r="298" spans="1:9">
      <c r="A298" s="168">
        <v>284</v>
      </c>
      <c r="B298" s="171">
        <f t="shared" si="29"/>
        <v>107.36432460242781</v>
      </c>
      <c r="C298" s="171">
        <f t="shared" si="30"/>
        <v>29.414825290787615</v>
      </c>
      <c r="D298" s="171">
        <f t="shared" si="31"/>
        <v>77.949499311640196</v>
      </c>
      <c r="E298" s="169">
        <f t="shared" si="33"/>
        <v>0</v>
      </c>
      <c r="F298" s="169"/>
      <c r="G298" s="170">
        <f t="shared" si="32"/>
        <v>6981.6085704773868</v>
      </c>
    </row>
    <row r="299" spans="1:9">
      <c r="A299" s="168">
        <v>285</v>
      </c>
      <c r="B299" s="171">
        <f t="shared" si="29"/>
        <v>107.36432460242781</v>
      </c>
      <c r="C299" s="171">
        <f t="shared" si="30"/>
        <v>29.090035710322443</v>
      </c>
      <c r="D299" s="171">
        <f t="shared" si="31"/>
        <v>78.274288892105375</v>
      </c>
      <c r="E299" s="169">
        <f t="shared" si="33"/>
        <v>0</v>
      </c>
      <c r="F299" s="169"/>
      <c r="G299" s="170">
        <f t="shared" si="32"/>
        <v>6903.3342815852811</v>
      </c>
    </row>
    <row r="300" spans="1:9">
      <c r="A300" s="168">
        <v>286</v>
      </c>
      <c r="B300" s="171">
        <f t="shared" si="29"/>
        <v>107.36432460242781</v>
      </c>
      <c r="C300" s="171">
        <f t="shared" si="30"/>
        <v>28.76389283993867</v>
      </c>
      <c r="D300" s="171">
        <f t="shared" si="31"/>
        <v>78.600431762489137</v>
      </c>
      <c r="E300" s="169">
        <f t="shared" si="33"/>
        <v>0</v>
      </c>
      <c r="F300" s="169"/>
      <c r="G300" s="170">
        <f t="shared" si="32"/>
        <v>6824.7338498227919</v>
      </c>
    </row>
    <row r="301" spans="1:9">
      <c r="A301" s="168">
        <v>287</v>
      </c>
      <c r="B301" s="171">
        <f t="shared" si="29"/>
        <v>107.36432460242781</v>
      </c>
      <c r="C301" s="171">
        <f t="shared" si="30"/>
        <v>28.436391040928299</v>
      </c>
      <c r="D301" s="171">
        <f t="shared" si="31"/>
        <v>78.927933561499515</v>
      </c>
      <c r="E301" s="169">
        <f t="shared" si="33"/>
        <v>0</v>
      </c>
      <c r="F301" s="169"/>
      <c r="G301" s="170">
        <f t="shared" si="32"/>
        <v>6745.8059162612926</v>
      </c>
    </row>
    <row r="302" spans="1:9">
      <c r="A302" s="168">
        <v>288</v>
      </c>
      <c r="B302" s="171">
        <f t="shared" si="29"/>
        <v>107.36432460242781</v>
      </c>
      <c r="C302" s="171">
        <f t="shared" si="30"/>
        <v>28.10752465108872</v>
      </c>
      <c r="D302" s="171">
        <f t="shared" si="31"/>
        <v>79.25679995133909</v>
      </c>
      <c r="E302" s="169">
        <f t="shared" si="33"/>
        <v>0</v>
      </c>
      <c r="F302" s="169"/>
      <c r="G302" s="170">
        <f t="shared" si="32"/>
        <v>6666.5491163099532</v>
      </c>
      <c r="H302" s="182">
        <f>SUM(D291:D302)</f>
        <v>929.67384339676744</v>
      </c>
      <c r="I302">
        <f>A302/12</f>
        <v>24</v>
      </c>
    </row>
    <row r="303" spans="1:9">
      <c r="A303" s="168">
        <v>289</v>
      </c>
      <c r="B303" s="171">
        <f t="shared" si="29"/>
        <v>107.36432460242781</v>
      </c>
      <c r="C303" s="171">
        <f t="shared" si="30"/>
        <v>27.777287984624806</v>
      </c>
      <c r="D303" s="171">
        <f t="shared" si="31"/>
        <v>79.587036617803008</v>
      </c>
      <c r="E303" s="169">
        <f t="shared" si="33"/>
        <v>0</v>
      </c>
      <c r="F303" s="169"/>
      <c r="G303" s="170">
        <f t="shared" si="32"/>
        <v>6586.9620796921499</v>
      </c>
    </row>
    <row r="304" spans="1:9">
      <c r="A304" s="168">
        <v>290</v>
      </c>
      <c r="B304" s="171">
        <f t="shared" si="29"/>
        <v>107.36432460242781</v>
      </c>
      <c r="C304" s="171">
        <f t="shared" si="30"/>
        <v>27.445675332050623</v>
      </c>
      <c r="D304" s="171">
        <f t="shared" si="31"/>
        <v>79.918649270377188</v>
      </c>
      <c r="E304" s="169">
        <f t="shared" si="33"/>
        <v>0</v>
      </c>
      <c r="F304" s="169"/>
      <c r="G304" s="170">
        <f t="shared" si="32"/>
        <v>6507.0434304217724</v>
      </c>
    </row>
    <row r="305" spans="1:9">
      <c r="A305" s="168">
        <v>291</v>
      </c>
      <c r="B305" s="171">
        <f t="shared" si="29"/>
        <v>107.36432460242781</v>
      </c>
      <c r="C305" s="171">
        <f t="shared" si="30"/>
        <v>27.112680960090717</v>
      </c>
      <c r="D305" s="171">
        <f t="shared" si="31"/>
        <v>80.2516436423371</v>
      </c>
      <c r="E305" s="169">
        <f t="shared" si="33"/>
        <v>0</v>
      </c>
      <c r="F305" s="169"/>
      <c r="G305" s="170">
        <f t="shared" si="32"/>
        <v>6426.7917867794349</v>
      </c>
    </row>
    <row r="306" spans="1:9">
      <c r="A306" s="168">
        <v>292</v>
      </c>
      <c r="B306" s="171">
        <f t="shared" si="29"/>
        <v>107.36432460242781</v>
      </c>
      <c r="C306" s="171">
        <f t="shared" si="30"/>
        <v>26.778299111580978</v>
      </c>
      <c r="D306" s="171">
        <f t="shared" si="31"/>
        <v>80.586025490846836</v>
      </c>
      <c r="E306" s="169">
        <f t="shared" si="33"/>
        <v>0</v>
      </c>
      <c r="F306" s="169"/>
      <c r="G306" s="170">
        <f t="shared" si="32"/>
        <v>6346.2057612885883</v>
      </c>
    </row>
    <row r="307" spans="1:9">
      <c r="A307" s="168">
        <v>293</v>
      </c>
      <c r="B307" s="171">
        <f t="shared" si="29"/>
        <v>107.36432460242781</v>
      </c>
      <c r="C307" s="171">
        <f t="shared" si="30"/>
        <v>26.442524005369119</v>
      </c>
      <c r="D307" s="171">
        <f t="shared" si="31"/>
        <v>80.921800597058692</v>
      </c>
      <c r="E307" s="169">
        <f t="shared" si="33"/>
        <v>0</v>
      </c>
      <c r="F307" s="169"/>
      <c r="G307" s="170">
        <f t="shared" si="32"/>
        <v>6265.2839606915295</v>
      </c>
    </row>
    <row r="308" spans="1:9">
      <c r="A308" s="168">
        <v>294</v>
      </c>
      <c r="B308" s="171">
        <f t="shared" si="29"/>
        <v>107.36432460242781</v>
      </c>
      <c r="C308" s="171">
        <f t="shared" si="30"/>
        <v>26.105349836214707</v>
      </c>
      <c r="D308" s="171">
        <f t="shared" si="31"/>
        <v>81.2589747662131</v>
      </c>
      <c r="E308" s="169">
        <f t="shared" si="33"/>
        <v>0</v>
      </c>
      <c r="F308" s="169"/>
      <c r="G308" s="170">
        <f t="shared" si="32"/>
        <v>6184.0249859253163</v>
      </c>
    </row>
    <row r="309" spans="1:9">
      <c r="A309" s="168">
        <v>295</v>
      </c>
      <c r="B309" s="171">
        <f t="shared" si="29"/>
        <v>107.36432460242781</v>
      </c>
      <c r="C309" s="171">
        <f t="shared" si="30"/>
        <v>25.766770774688819</v>
      </c>
      <c r="D309" s="171">
        <f t="shared" si="31"/>
        <v>81.597553827738992</v>
      </c>
      <c r="E309" s="169">
        <f t="shared" si="33"/>
        <v>0</v>
      </c>
      <c r="F309" s="169"/>
      <c r="G309" s="170">
        <f t="shared" si="32"/>
        <v>6102.4274320975774</v>
      </c>
    </row>
    <row r="310" spans="1:9">
      <c r="A310" s="168">
        <v>296</v>
      </c>
      <c r="B310" s="171">
        <f t="shared" si="29"/>
        <v>107.36432460242781</v>
      </c>
      <c r="C310" s="171">
        <f t="shared" si="30"/>
        <v>25.426780967073238</v>
      </c>
      <c r="D310" s="171">
        <f t="shared" si="31"/>
        <v>81.937543635354572</v>
      </c>
      <c r="E310" s="169">
        <f t="shared" si="33"/>
        <v>0</v>
      </c>
      <c r="F310" s="169"/>
      <c r="G310" s="170">
        <f t="shared" si="32"/>
        <v>6020.4898884622226</v>
      </c>
    </row>
    <row r="311" spans="1:9">
      <c r="A311" s="168">
        <v>297</v>
      </c>
      <c r="B311" s="171">
        <f t="shared" si="29"/>
        <v>107.36432460242781</v>
      </c>
      <c r="C311" s="171">
        <f t="shared" si="30"/>
        <v>25.085374535259259</v>
      </c>
      <c r="D311" s="171">
        <f t="shared" si="31"/>
        <v>82.278950067168552</v>
      </c>
      <c r="E311" s="169">
        <f t="shared" si="33"/>
        <v>0</v>
      </c>
      <c r="F311" s="169"/>
      <c r="G311" s="170">
        <f t="shared" si="32"/>
        <v>5938.2109383950537</v>
      </c>
    </row>
    <row r="312" spans="1:9">
      <c r="A312" s="168">
        <v>298</v>
      </c>
      <c r="B312" s="171">
        <f t="shared" si="29"/>
        <v>107.36432460242781</v>
      </c>
      <c r="C312" s="171">
        <f t="shared" si="30"/>
        <v>24.742545576646059</v>
      </c>
      <c r="D312" s="171">
        <f t="shared" si="31"/>
        <v>82.621779025781763</v>
      </c>
      <c r="E312" s="169">
        <f t="shared" si="33"/>
        <v>0</v>
      </c>
      <c r="F312" s="169"/>
      <c r="G312" s="170">
        <f t="shared" si="32"/>
        <v>5855.5891593692722</v>
      </c>
    </row>
    <row r="313" spans="1:9">
      <c r="A313" s="168">
        <v>299</v>
      </c>
      <c r="B313" s="171">
        <f t="shared" si="29"/>
        <v>107.36432460242781</v>
      </c>
      <c r="C313" s="171">
        <f t="shared" si="30"/>
        <v>24.398288164038632</v>
      </c>
      <c r="D313" s="171">
        <f t="shared" si="31"/>
        <v>82.966036438389182</v>
      </c>
      <c r="E313" s="169">
        <f t="shared" si="33"/>
        <v>0</v>
      </c>
      <c r="F313" s="169"/>
      <c r="G313" s="170">
        <f t="shared" si="32"/>
        <v>5772.6231229308833</v>
      </c>
    </row>
    <row r="314" spans="1:9">
      <c r="A314" s="168">
        <v>300</v>
      </c>
      <c r="B314" s="171">
        <f t="shared" si="29"/>
        <v>107.36432460242781</v>
      </c>
      <c r="C314" s="171">
        <f t="shared" si="30"/>
        <v>24.052596345545346</v>
      </c>
      <c r="D314" s="171">
        <f t="shared" si="31"/>
        <v>83.311728256882475</v>
      </c>
      <c r="E314" s="169">
        <f t="shared" si="33"/>
        <v>0</v>
      </c>
      <c r="F314" s="169"/>
      <c r="G314" s="170">
        <f t="shared" si="32"/>
        <v>5689.3113946740004</v>
      </c>
      <c r="H314" s="182">
        <f>SUM(D303:D314)</f>
        <v>977.23772163595152</v>
      </c>
      <c r="I314">
        <f>A314/12</f>
        <v>25</v>
      </c>
    </row>
    <row r="315" spans="1:9">
      <c r="A315" s="168">
        <v>301</v>
      </c>
      <c r="B315" s="171">
        <f t="shared" si="29"/>
        <v>107.36432460242781</v>
      </c>
      <c r="C315" s="171">
        <f t="shared" si="30"/>
        <v>23.705464144475002</v>
      </c>
      <c r="D315" s="171">
        <f t="shared" si="31"/>
        <v>83.658860457952812</v>
      </c>
      <c r="E315" s="169">
        <f t="shared" si="33"/>
        <v>0</v>
      </c>
      <c r="F315" s="169"/>
      <c r="G315" s="170">
        <f t="shared" si="32"/>
        <v>5605.6525342160476</v>
      </c>
    </row>
    <row r="316" spans="1:9">
      <c r="A316" s="168">
        <v>302</v>
      </c>
      <c r="B316" s="171">
        <f t="shared" si="29"/>
        <v>107.36432460242781</v>
      </c>
      <c r="C316" s="171">
        <f t="shared" si="30"/>
        <v>23.356885559233532</v>
      </c>
      <c r="D316" s="171">
        <f t="shared" si="31"/>
        <v>84.007439043194282</v>
      </c>
      <c r="E316" s="169">
        <f t="shared" si="33"/>
        <v>0</v>
      </c>
      <c r="F316" s="169"/>
      <c r="G316" s="170">
        <f t="shared" si="32"/>
        <v>5521.645095172853</v>
      </c>
    </row>
    <row r="317" spans="1:9">
      <c r="A317" s="168">
        <v>303</v>
      </c>
      <c r="B317" s="171">
        <f t="shared" si="29"/>
        <v>107.36432460242781</v>
      </c>
      <c r="C317" s="171">
        <f t="shared" si="30"/>
        <v>23.006854563220219</v>
      </c>
      <c r="D317" s="171">
        <f t="shared" si="31"/>
        <v>84.357470039207598</v>
      </c>
      <c r="E317" s="169">
        <f t="shared" si="33"/>
        <v>0</v>
      </c>
      <c r="F317" s="169"/>
      <c r="G317" s="170">
        <f t="shared" si="32"/>
        <v>5437.2876251336456</v>
      </c>
    </row>
    <row r="318" spans="1:9">
      <c r="A318" s="168">
        <v>304</v>
      </c>
      <c r="B318" s="171">
        <f t="shared" si="29"/>
        <v>107.36432460242781</v>
      </c>
      <c r="C318" s="171">
        <f t="shared" si="30"/>
        <v>22.655365104723522</v>
      </c>
      <c r="D318" s="171">
        <f t="shared" si="31"/>
        <v>84.708959497704285</v>
      </c>
      <c r="E318" s="169">
        <f t="shared" si="33"/>
        <v>0</v>
      </c>
      <c r="F318" s="169"/>
      <c r="G318" s="170">
        <f t="shared" si="32"/>
        <v>5352.5786656359414</v>
      </c>
    </row>
    <row r="319" spans="1:9">
      <c r="A319" s="168">
        <v>305</v>
      </c>
      <c r="B319" s="171">
        <f t="shared" si="29"/>
        <v>107.36432460242781</v>
      </c>
      <c r="C319" s="171">
        <f t="shared" si="30"/>
        <v>22.302411106816422</v>
      </c>
      <c r="D319" s="171">
        <f t="shared" si="31"/>
        <v>85.061913495611392</v>
      </c>
      <c r="E319" s="169">
        <f t="shared" si="33"/>
        <v>0</v>
      </c>
      <c r="F319" s="169"/>
      <c r="G319" s="170">
        <f t="shared" si="32"/>
        <v>5267.51675214033</v>
      </c>
    </row>
    <row r="320" spans="1:9">
      <c r="A320" s="168">
        <v>306</v>
      </c>
      <c r="B320" s="171">
        <f t="shared" si="29"/>
        <v>107.36432460242781</v>
      </c>
      <c r="C320" s="171">
        <f t="shared" si="30"/>
        <v>21.947986467251376</v>
      </c>
      <c r="D320" s="171">
        <f t="shared" si="31"/>
        <v>85.416338135176431</v>
      </c>
      <c r="E320" s="169">
        <f t="shared" si="33"/>
        <v>0</v>
      </c>
      <c r="F320" s="169"/>
      <c r="G320" s="170">
        <f t="shared" si="32"/>
        <v>5182.1004140051537</v>
      </c>
    </row>
    <row r="321" spans="1:9">
      <c r="A321" s="168">
        <v>307</v>
      </c>
      <c r="B321" s="171">
        <f t="shared" si="29"/>
        <v>107.36432460242781</v>
      </c>
      <c r="C321" s="171">
        <f t="shared" si="30"/>
        <v>21.592085058354808</v>
      </c>
      <c r="D321" s="171">
        <f t="shared" si="31"/>
        <v>85.772239544073003</v>
      </c>
      <c r="E321" s="169">
        <f t="shared" si="33"/>
        <v>0</v>
      </c>
      <c r="F321" s="169"/>
      <c r="G321" s="170">
        <f t="shared" si="32"/>
        <v>5096.3281744610804</v>
      </c>
    </row>
    <row r="322" spans="1:9">
      <c r="A322" s="168">
        <v>308</v>
      </c>
      <c r="B322" s="171">
        <f t="shared" si="29"/>
        <v>107.36432460242781</v>
      </c>
      <c r="C322" s="171">
        <f t="shared" si="30"/>
        <v>21.234700726921169</v>
      </c>
      <c r="D322" s="171">
        <f t="shared" si="31"/>
        <v>86.129623875506638</v>
      </c>
      <c r="E322" s="169">
        <f t="shared" si="33"/>
        <v>0</v>
      </c>
      <c r="F322" s="169"/>
      <c r="G322" s="170">
        <f t="shared" si="32"/>
        <v>5010.1985505855737</v>
      </c>
    </row>
    <row r="323" spans="1:9">
      <c r="A323" s="168">
        <v>309</v>
      </c>
      <c r="B323" s="171">
        <f t="shared" si="29"/>
        <v>107.36432460242781</v>
      </c>
      <c r="C323" s="171">
        <f t="shared" si="30"/>
        <v>20.875827294106557</v>
      </c>
      <c r="D323" s="171">
        <f t="shared" si="31"/>
        <v>86.488497308321257</v>
      </c>
      <c r="E323" s="169">
        <f t="shared" si="33"/>
        <v>0</v>
      </c>
      <c r="F323" s="169"/>
      <c r="G323" s="170">
        <f t="shared" si="32"/>
        <v>4923.7100532772529</v>
      </c>
    </row>
    <row r="324" spans="1:9">
      <c r="A324" s="168">
        <v>310</v>
      </c>
      <c r="B324" s="171">
        <f t="shared" si="29"/>
        <v>107.36432460242781</v>
      </c>
      <c r="C324" s="171">
        <f t="shared" si="30"/>
        <v>20.515458555321885</v>
      </c>
      <c r="D324" s="171">
        <f t="shared" si="31"/>
        <v>86.848866047105929</v>
      </c>
      <c r="E324" s="169">
        <f t="shared" si="33"/>
        <v>0</v>
      </c>
      <c r="F324" s="169"/>
      <c r="G324" s="170">
        <f t="shared" si="32"/>
        <v>4836.8611872301472</v>
      </c>
    </row>
    <row r="325" spans="1:9">
      <c r="A325" s="168">
        <v>311</v>
      </c>
      <c r="B325" s="171">
        <f t="shared" si="29"/>
        <v>107.36432460242781</v>
      </c>
      <c r="C325" s="171">
        <f t="shared" si="30"/>
        <v>20.153588280125614</v>
      </c>
      <c r="D325" s="171">
        <f t="shared" si="31"/>
        <v>87.210736322302196</v>
      </c>
      <c r="E325" s="169">
        <f t="shared" si="33"/>
        <v>0</v>
      </c>
      <c r="F325" s="169"/>
      <c r="G325" s="170">
        <f t="shared" si="32"/>
        <v>4749.650450907845</v>
      </c>
    </row>
    <row r="326" spans="1:9">
      <c r="A326" s="168">
        <v>312</v>
      </c>
      <c r="B326" s="171">
        <f t="shared" si="29"/>
        <v>107.36432460242781</v>
      </c>
      <c r="C326" s="171">
        <f t="shared" si="30"/>
        <v>19.790210212116019</v>
      </c>
      <c r="D326" s="171">
        <f t="shared" si="31"/>
        <v>87.574114390311792</v>
      </c>
      <c r="E326" s="169">
        <f t="shared" si="33"/>
        <v>0</v>
      </c>
      <c r="F326" s="169"/>
      <c r="G326" s="170">
        <f t="shared" si="32"/>
        <v>4662.0763365175335</v>
      </c>
      <c r="H326" s="182">
        <f>SUM(D315:D326)</f>
        <v>1027.2350581564676</v>
      </c>
      <c r="I326">
        <f>A326/12</f>
        <v>26</v>
      </c>
    </row>
    <row r="327" spans="1:9">
      <c r="A327" s="168">
        <v>313</v>
      </c>
      <c r="B327" s="171">
        <f t="shared" si="29"/>
        <v>107.36432460242781</v>
      </c>
      <c r="C327" s="171">
        <f t="shared" si="30"/>
        <v>19.425318068823056</v>
      </c>
      <c r="D327" s="171">
        <f t="shared" si="31"/>
        <v>87.939006533604754</v>
      </c>
      <c r="E327" s="169">
        <f t="shared" si="33"/>
        <v>0</v>
      </c>
      <c r="F327" s="169"/>
      <c r="G327" s="170">
        <f t="shared" si="32"/>
        <v>4574.1373299839288</v>
      </c>
    </row>
    <row r="328" spans="1:9">
      <c r="A328" s="168">
        <v>314</v>
      </c>
      <c r="B328" s="171">
        <f t="shared" si="29"/>
        <v>107.36432460242781</v>
      </c>
      <c r="C328" s="171">
        <f t="shared" si="30"/>
        <v>19.058905541599703</v>
      </c>
      <c r="D328" s="171">
        <f t="shared" si="31"/>
        <v>88.305419060828115</v>
      </c>
      <c r="E328" s="169">
        <f t="shared" si="33"/>
        <v>0</v>
      </c>
      <c r="F328" s="169"/>
      <c r="G328" s="170">
        <f t="shared" si="32"/>
        <v>4485.8319109231006</v>
      </c>
    </row>
    <row r="329" spans="1:9">
      <c r="A329" s="168">
        <v>315</v>
      </c>
      <c r="B329" s="171">
        <f t="shared" si="29"/>
        <v>107.36432460242781</v>
      </c>
      <c r="C329" s="171">
        <f t="shared" si="30"/>
        <v>18.690966295512919</v>
      </c>
      <c r="D329" s="171">
        <f t="shared" si="31"/>
        <v>88.673358306914892</v>
      </c>
      <c r="E329" s="169">
        <f t="shared" si="33"/>
        <v>0</v>
      </c>
      <c r="F329" s="169"/>
      <c r="G329" s="170">
        <f t="shared" si="32"/>
        <v>4397.1585526161862</v>
      </c>
    </row>
    <row r="330" spans="1:9">
      <c r="A330" s="168">
        <v>316</v>
      </c>
      <c r="B330" s="171">
        <f t="shared" si="29"/>
        <v>107.36432460242781</v>
      </c>
      <c r="C330" s="171">
        <f t="shared" si="30"/>
        <v>18.321493969234108</v>
      </c>
      <c r="D330" s="171">
        <f t="shared" si="31"/>
        <v>89.042830633193702</v>
      </c>
      <c r="E330" s="169">
        <f t="shared" si="33"/>
        <v>0</v>
      </c>
      <c r="F330" s="169"/>
      <c r="G330" s="170">
        <f t="shared" si="32"/>
        <v>4308.1157219829929</v>
      </c>
    </row>
    <row r="331" spans="1:9">
      <c r="A331" s="168">
        <v>317</v>
      </c>
      <c r="B331" s="171">
        <f t="shared" si="29"/>
        <v>107.36432460242781</v>
      </c>
      <c r="C331" s="171">
        <f t="shared" si="30"/>
        <v>17.950482174929135</v>
      </c>
      <c r="D331" s="171">
        <f t="shared" si="31"/>
        <v>89.413842427498679</v>
      </c>
      <c r="E331" s="169">
        <f t="shared" si="33"/>
        <v>0</v>
      </c>
      <c r="F331" s="169"/>
      <c r="G331" s="170">
        <f t="shared" si="32"/>
        <v>4218.7018795554941</v>
      </c>
    </row>
    <row r="332" spans="1:9">
      <c r="A332" s="168">
        <v>318</v>
      </c>
      <c r="B332" s="171">
        <f t="shared" si="29"/>
        <v>107.36432460242781</v>
      </c>
      <c r="C332" s="171">
        <f t="shared" si="30"/>
        <v>17.57792449814789</v>
      </c>
      <c r="D332" s="171">
        <f t="shared" si="31"/>
        <v>89.78640010427992</v>
      </c>
      <c r="E332" s="169">
        <f t="shared" si="33"/>
        <v>0</v>
      </c>
      <c r="F332" s="169"/>
      <c r="G332" s="170">
        <f t="shared" si="32"/>
        <v>4128.9154794512142</v>
      </c>
    </row>
    <row r="333" spans="1:9">
      <c r="A333" s="168">
        <v>319</v>
      </c>
      <c r="B333" s="171">
        <f t="shared" si="29"/>
        <v>107.36432460242781</v>
      </c>
      <c r="C333" s="171">
        <f t="shared" si="30"/>
        <v>17.203814497713392</v>
      </c>
      <c r="D333" s="171">
        <f t="shared" si="31"/>
        <v>90.160510104714419</v>
      </c>
      <c r="E333" s="169">
        <f t="shared" si="33"/>
        <v>0</v>
      </c>
      <c r="F333" s="169"/>
      <c r="G333" s="170">
        <f t="shared" si="32"/>
        <v>4038.7549693464998</v>
      </c>
    </row>
    <row r="334" spans="1:9">
      <c r="A334" s="168">
        <v>320</v>
      </c>
      <c r="B334" s="171">
        <f t="shared" si="29"/>
        <v>107.36432460242781</v>
      </c>
      <c r="C334" s="171">
        <f t="shared" si="30"/>
        <v>16.828145705610417</v>
      </c>
      <c r="D334" s="171">
        <f t="shared" si="31"/>
        <v>90.536178896817404</v>
      </c>
      <c r="E334" s="169">
        <f t="shared" si="33"/>
        <v>0</v>
      </c>
      <c r="F334" s="169"/>
      <c r="G334" s="170">
        <f t="shared" si="32"/>
        <v>3948.2187904496823</v>
      </c>
    </row>
    <row r="335" spans="1:9">
      <c r="A335" s="168">
        <v>321</v>
      </c>
      <c r="B335" s="171">
        <f t="shared" si="29"/>
        <v>107.36432460242781</v>
      </c>
      <c r="C335" s="171">
        <f t="shared" si="30"/>
        <v>16.450911626873676</v>
      </c>
      <c r="D335" s="171">
        <f t="shared" si="31"/>
        <v>90.913412975554138</v>
      </c>
      <c r="E335" s="169">
        <f t="shared" si="33"/>
        <v>0</v>
      </c>
      <c r="F335" s="169"/>
      <c r="G335" s="170">
        <f t="shared" si="32"/>
        <v>3857.3053774741284</v>
      </c>
    </row>
    <row r="336" spans="1:9">
      <c r="A336" s="168">
        <v>322</v>
      </c>
      <c r="B336" s="171">
        <f t="shared" ref="B336:B374" si="34">IF($B$6&lt;=G335,$B$6,G335+G335*$B$4/$B$5)</f>
        <v>107.36432460242781</v>
      </c>
      <c r="C336" s="171">
        <f t="shared" ref="C336:C374" si="35">IF(B336&gt;0,$B$4/$B$5*G335,0)</f>
        <v>16.072105739475536</v>
      </c>
      <c r="D336" s="171">
        <f t="shared" ref="D336:D374" si="36">IF(B336&gt;0,MIN(B336-C336,G335),0)</f>
        <v>91.292218862952282</v>
      </c>
      <c r="E336" s="169">
        <f t="shared" si="33"/>
        <v>0</v>
      </c>
      <c r="F336" s="169"/>
      <c r="G336" s="170">
        <f t="shared" ref="G336:G374" si="37">IF(ROUND(G335,5)&gt;0,G335-D336-E336,0)</f>
        <v>3766.0131586111761</v>
      </c>
    </row>
    <row r="337" spans="1:9">
      <c r="A337" s="168">
        <v>323</v>
      </c>
      <c r="B337" s="171">
        <f t="shared" si="34"/>
        <v>107.36432460242781</v>
      </c>
      <c r="C337" s="171">
        <f t="shared" si="35"/>
        <v>15.691721494213233</v>
      </c>
      <c r="D337" s="171">
        <f t="shared" si="36"/>
        <v>91.672603108214588</v>
      </c>
      <c r="E337" s="169">
        <f t="shared" si="33"/>
        <v>0</v>
      </c>
      <c r="F337" s="169"/>
      <c r="G337" s="170">
        <f t="shared" si="37"/>
        <v>3674.3405555029617</v>
      </c>
    </row>
    <row r="338" spans="1:9">
      <c r="A338" s="168">
        <v>324</v>
      </c>
      <c r="B338" s="171">
        <f t="shared" si="34"/>
        <v>107.36432460242781</v>
      </c>
      <c r="C338" s="171">
        <f t="shared" si="35"/>
        <v>15.309752314595674</v>
      </c>
      <c r="D338" s="171">
        <f t="shared" si="36"/>
        <v>92.054572287832144</v>
      </c>
      <c r="E338" s="169">
        <f t="shared" si="33"/>
        <v>0</v>
      </c>
      <c r="F338" s="169"/>
      <c r="G338" s="170">
        <f t="shared" si="37"/>
        <v>3582.2859832151294</v>
      </c>
      <c r="H338" s="182">
        <f>SUM(D327:D338)</f>
        <v>1079.790353302405</v>
      </c>
      <c r="I338">
        <f>A338/12</f>
        <v>27</v>
      </c>
    </row>
    <row r="339" spans="1:9">
      <c r="A339" s="168">
        <v>325</v>
      </c>
      <c r="B339" s="171">
        <f t="shared" si="34"/>
        <v>107.36432460242781</v>
      </c>
      <c r="C339" s="171">
        <f t="shared" si="35"/>
        <v>14.926191596729705</v>
      </c>
      <c r="D339" s="171">
        <f t="shared" si="36"/>
        <v>92.438133005698106</v>
      </c>
      <c r="E339" s="169">
        <f t="shared" si="33"/>
        <v>0</v>
      </c>
      <c r="F339" s="169"/>
      <c r="G339" s="170">
        <f t="shared" si="37"/>
        <v>3489.8478502094313</v>
      </c>
    </row>
    <row r="340" spans="1:9">
      <c r="A340" s="168">
        <v>326</v>
      </c>
      <c r="B340" s="171">
        <f t="shared" si="34"/>
        <v>107.36432460242781</v>
      </c>
      <c r="C340" s="171">
        <f t="shared" si="35"/>
        <v>14.541032709205963</v>
      </c>
      <c r="D340" s="171">
        <f t="shared" si="36"/>
        <v>92.82329189322185</v>
      </c>
      <c r="E340" s="169">
        <f t="shared" ref="E340:E374" si="38">IF(G339-D340&gt;=$B$7,$B$7,G339-D340)</f>
        <v>0</v>
      </c>
      <c r="F340" s="169"/>
      <c r="G340" s="170">
        <f t="shared" si="37"/>
        <v>3397.0245583162095</v>
      </c>
    </row>
    <row r="341" spans="1:9">
      <c r="A341" s="168">
        <v>327</v>
      </c>
      <c r="B341" s="171">
        <f t="shared" si="34"/>
        <v>107.36432460242781</v>
      </c>
      <c r="C341" s="171">
        <f t="shared" si="35"/>
        <v>14.154268992984207</v>
      </c>
      <c r="D341" s="171">
        <f t="shared" si="36"/>
        <v>93.2100556094436</v>
      </c>
      <c r="E341" s="169">
        <f t="shared" si="38"/>
        <v>0</v>
      </c>
      <c r="F341" s="169"/>
      <c r="G341" s="170">
        <f t="shared" si="37"/>
        <v>3303.8145027067658</v>
      </c>
    </row>
    <row r="342" spans="1:9">
      <c r="A342" s="168">
        <v>328</v>
      </c>
      <c r="B342" s="171">
        <f t="shared" si="34"/>
        <v>107.36432460242781</v>
      </c>
      <c r="C342" s="171">
        <f t="shared" si="35"/>
        <v>13.765893761278191</v>
      </c>
      <c r="D342" s="171">
        <f t="shared" si="36"/>
        <v>93.598430841149622</v>
      </c>
      <c r="E342" s="169">
        <f t="shared" si="38"/>
        <v>0</v>
      </c>
      <c r="F342" s="169"/>
      <c r="G342" s="170">
        <f t="shared" si="37"/>
        <v>3210.216071865616</v>
      </c>
    </row>
    <row r="343" spans="1:9">
      <c r="A343" s="168">
        <v>329</v>
      </c>
      <c r="B343" s="171">
        <f t="shared" si="34"/>
        <v>107.36432460242781</v>
      </c>
      <c r="C343" s="171">
        <f t="shared" si="35"/>
        <v>13.375900299440067</v>
      </c>
      <c r="D343" s="171">
        <f t="shared" si="36"/>
        <v>93.988424302987752</v>
      </c>
      <c r="E343" s="169">
        <f t="shared" si="38"/>
        <v>0</v>
      </c>
      <c r="F343" s="169"/>
      <c r="G343" s="170">
        <f t="shared" si="37"/>
        <v>3116.2276475626281</v>
      </c>
    </row>
    <row r="344" spans="1:9">
      <c r="A344" s="168">
        <v>330</v>
      </c>
      <c r="B344" s="171">
        <f t="shared" si="34"/>
        <v>107.36432460242781</v>
      </c>
      <c r="C344" s="171">
        <f t="shared" si="35"/>
        <v>12.984281864844284</v>
      </c>
      <c r="D344" s="171">
        <f t="shared" si="36"/>
        <v>94.380042737583523</v>
      </c>
      <c r="E344" s="169">
        <f t="shared" si="38"/>
        <v>0</v>
      </c>
      <c r="F344" s="169"/>
      <c r="G344" s="170">
        <f t="shared" si="37"/>
        <v>3021.8476048250445</v>
      </c>
    </row>
    <row r="345" spans="1:9">
      <c r="A345" s="168">
        <v>331</v>
      </c>
      <c r="B345" s="171">
        <f t="shared" si="34"/>
        <v>107.36432460242781</v>
      </c>
      <c r="C345" s="171">
        <f t="shared" si="35"/>
        <v>12.591031686771018</v>
      </c>
      <c r="D345" s="171">
        <f t="shared" si="36"/>
        <v>94.773292915656796</v>
      </c>
      <c r="E345" s="169">
        <f t="shared" si="38"/>
        <v>0</v>
      </c>
      <c r="F345" s="169"/>
      <c r="G345" s="170">
        <f t="shared" si="37"/>
        <v>2927.0743119093877</v>
      </c>
    </row>
    <row r="346" spans="1:9">
      <c r="A346" s="168">
        <v>332</v>
      </c>
      <c r="B346" s="171">
        <f t="shared" si="34"/>
        <v>107.36432460242781</v>
      </c>
      <c r="C346" s="171">
        <f t="shared" si="35"/>
        <v>12.196142966289115</v>
      </c>
      <c r="D346" s="171">
        <f t="shared" si="36"/>
        <v>95.168181636138698</v>
      </c>
      <c r="E346" s="169">
        <f t="shared" si="38"/>
        <v>0</v>
      </c>
      <c r="F346" s="169"/>
      <c r="G346" s="170">
        <f t="shared" si="37"/>
        <v>2831.9061302732489</v>
      </c>
    </row>
    <row r="347" spans="1:9">
      <c r="A347" s="168">
        <v>333</v>
      </c>
      <c r="B347" s="171">
        <f t="shared" si="34"/>
        <v>107.36432460242781</v>
      </c>
      <c r="C347" s="171">
        <f t="shared" si="35"/>
        <v>11.799608876138537</v>
      </c>
      <c r="D347" s="171">
        <f t="shared" si="36"/>
        <v>95.564715726289279</v>
      </c>
      <c r="E347" s="169">
        <f t="shared" si="38"/>
        <v>0</v>
      </c>
      <c r="F347" s="169"/>
      <c r="G347" s="170">
        <f t="shared" si="37"/>
        <v>2736.3414145469596</v>
      </c>
    </row>
    <row r="348" spans="1:9">
      <c r="A348" s="168">
        <v>334</v>
      </c>
      <c r="B348" s="171">
        <f t="shared" si="34"/>
        <v>107.36432460242781</v>
      </c>
      <c r="C348" s="171">
        <f t="shared" si="35"/>
        <v>11.401422560612332</v>
      </c>
      <c r="D348" s="171">
        <f t="shared" si="36"/>
        <v>95.962902041815482</v>
      </c>
      <c r="E348" s="169">
        <f t="shared" si="38"/>
        <v>0</v>
      </c>
      <c r="F348" s="169"/>
      <c r="G348" s="170">
        <f t="shared" si="37"/>
        <v>2640.378512505144</v>
      </c>
    </row>
    <row r="349" spans="1:9">
      <c r="A349" s="168">
        <v>335</v>
      </c>
      <c r="B349" s="171">
        <f t="shared" si="34"/>
        <v>107.36432460242781</v>
      </c>
      <c r="C349" s="171">
        <f t="shared" si="35"/>
        <v>11.001577135438101</v>
      </c>
      <c r="D349" s="171">
        <f t="shared" si="36"/>
        <v>96.362747466989717</v>
      </c>
      <c r="E349" s="169">
        <f t="shared" si="38"/>
        <v>0</v>
      </c>
      <c r="F349" s="169"/>
      <c r="G349" s="170">
        <f t="shared" si="37"/>
        <v>2544.0157650381543</v>
      </c>
    </row>
    <row r="350" spans="1:9">
      <c r="A350" s="168">
        <v>336</v>
      </c>
      <c r="B350" s="171">
        <f t="shared" si="34"/>
        <v>107.36432460242781</v>
      </c>
      <c r="C350" s="171">
        <f t="shared" si="35"/>
        <v>10.600065687658976</v>
      </c>
      <c r="D350" s="171">
        <f t="shared" si="36"/>
        <v>96.764258914768845</v>
      </c>
      <c r="E350" s="169">
        <f t="shared" si="38"/>
        <v>0</v>
      </c>
      <c r="F350" s="169"/>
      <c r="G350" s="170">
        <f t="shared" si="37"/>
        <v>2447.2515061233853</v>
      </c>
      <c r="H350" s="182">
        <f>SUM(D339:D350)</f>
        <v>1135.0344770917432</v>
      </c>
      <c r="I350">
        <f>A350/12</f>
        <v>28</v>
      </c>
    </row>
    <row r="351" spans="1:9">
      <c r="A351" s="168">
        <v>337</v>
      </c>
      <c r="B351" s="171">
        <f t="shared" si="34"/>
        <v>107.36432460242781</v>
      </c>
      <c r="C351" s="171">
        <f t="shared" si="35"/>
        <v>10.196881275514105</v>
      </c>
      <c r="D351" s="171">
        <f t="shared" si="36"/>
        <v>97.167443326913713</v>
      </c>
      <c r="E351" s="169">
        <f t="shared" si="38"/>
        <v>0</v>
      </c>
      <c r="F351" s="169"/>
      <c r="G351" s="170">
        <f t="shared" si="37"/>
        <v>2350.0840627964717</v>
      </c>
    </row>
    <row r="352" spans="1:9">
      <c r="A352" s="168">
        <v>338</v>
      </c>
      <c r="B352" s="171">
        <f t="shared" si="34"/>
        <v>107.36432460242781</v>
      </c>
      <c r="C352" s="171">
        <f t="shared" si="35"/>
        <v>9.7920169283186311</v>
      </c>
      <c r="D352" s="171">
        <f t="shared" si="36"/>
        <v>97.572307674109183</v>
      </c>
      <c r="E352" s="169">
        <f t="shared" si="38"/>
        <v>0</v>
      </c>
      <c r="F352" s="169"/>
      <c r="G352" s="170">
        <f t="shared" si="37"/>
        <v>2252.5117551223625</v>
      </c>
    </row>
    <row r="353" spans="1:9">
      <c r="A353" s="168">
        <v>339</v>
      </c>
      <c r="B353" s="171">
        <f t="shared" si="34"/>
        <v>107.36432460242781</v>
      </c>
      <c r="C353" s="171">
        <f t="shared" si="35"/>
        <v>9.3854656463431763</v>
      </c>
      <c r="D353" s="171">
        <f t="shared" si="36"/>
        <v>97.978858956084636</v>
      </c>
      <c r="E353" s="169">
        <f t="shared" si="38"/>
        <v>0</v>
      </c>
      <c r="F353" s="169"/>
      <c r="G353" s="170">
        <f t="shared" si="37"/>
        <v>2154.5328961662781</v>
      </c>
    </row>
    <row r="354" spans="1:9">
      <c r="A354" s="168">
        <v>340</v>
      </c>
      <c r="B354" s="171">
        <f t="shared" si="34"/>
        <v>107.36432460242781</v>
      </c>
      <c r="C354" s="171">
        <f t="shared" si="35"/>
        <v>8.9772204006928256</v>
      </c>
      <c r="D354" s="171">
        <f t="shared" si="36"/>
        <v>98.387104201734985</v>
      </c>
      <c r="E354" s="169">
        <f t="shared" si="38"/>
        <v>0</v>
      </c>
      <c r="F354" s="169"/>
      <c r="G354" s="170">
        <f t="shared" si="37"/>
        <v>2056.1457919645432</v>
      </c>
    </row>
    <row r="355" spans="1:9">
      <c r="A355" s="168">
        <v>341</v>
      </c>
      <c r="B355" s="171">
        <f t="shared" si="34"/>
        <v>107.36432460242781</v>
      </c>
      <c r="C355" s="171">
        <f t="shared" si="35"/>
        <v>8.5672741331855971</v>
      </c>
      <c r="D355" s="171">
        <f t="shared" si="36"/>
        <v>98.797050469242222</v>
      </c>
      <c r="E355" s="169">
        <f t="shared" si="38"/>
        <v>0</v>
      </c>
      <c r="F355" s="169"/>
      <c r="G355" s="170">
        <f t="shared" si="37"/>
        <v>1957.3487414953008</v>
      </c>
    </row>
    <row r="356" spans="1:9">
      <c r="A356" s="168">
        <v>342</v>
      </c>
      <c r="B356" s="171">
        <f t="shared" si="34"/>
        <v>107.36432460242781</v>
      </c>
      <c r="C356" s="171">
        <f t="shared" si="35"/>
        <v>8.1556197562304202</v>
      </c>
      <c r="D356" s="171">
        <f t="shared" si="36"/>
        <v>99.208704846197392</v>
      </c>
      <c r="E356" s="169">
        <f t="shared" si="38"/>
        <v>0</v>
      </c>
      <c r="F356" s="169"/>
      <c r="G356" s="170">
        <f t="shared" si="37"/>
        <v>1858.1400366491034</v>
      </c>
    </row>
    <row r="357" spans="1:9">
      <c r="A357" s="168">
        <v>343</v>
      </c>
      <c r="B357" s="171">
        <f t="shared" si="34"/>
        <v>107.36432460242781</v>
      </c>
      <c r="C357" s="171">
        <f t="shared" si="35"/>
        <v>7.7422501527045977</v>
      </c>
      <c r="D357" s="171">
        <f t="shared" si="36"/>
        <v>99.622074449723215</v>
      </c>
      <c r="E357" s="169">
        <f t="shared" si="38"/>
        <v>0</v>
      </c>
      <c r="F357" s="169"/>
      <c r="G357" s="170">
        <f t="shared" si="37"/>
        <v>1758.5179621993802</v>
      </c>
    </row>
    <row r="358" spans="1:9">
      <c r="A358" s="168">
        <v>344</v>
      </c>
      <c r="B358" s="171">
        <f t="shared" si="34"/>
        <v>107.36432460242781</v>
      </c>
      <c r="C358" s="171">
        <f t="shared" si="35"/>
        <v>7.3271581758307507</v>
      </c>
      <c r="D358" s="171">
        <f t="shared" si="36"/>
        <v>100.03716642659707</v>
      </c>
      <c r="E358" s="169">
        <f t="shared" si="38"/>
        <v>0</v>
      </c>
      <c r="F358" s="169"/>
      <c r="G358" s="170">
        <f t="shared" si="37"/>
        <v>1658.4807957727833</v>
      </c>
    </row>
    <row r="359" spans="1:9">
      <c r="A359" s="168">
        <v>345</v>
      </c>
      <c r="B359" s="171">
        <f t="shared" si="34"/>
        <v>107.36432460242781</v>
      </c>
      <c r="C359" s="171">
        <f t="shared" si="35"/>
        <v>6.9103366490532636</v>
      </c>
      <c r="D359" s="171">
        <f t="shared" si="36"/>
        <v>100.45398795337455</v>
      </c>
      <c r="E359" s="169">
        <f t="shared" si="38"/>
        <v>0</v>
      </c>
      <c r="F359" s="169"/>
      <c r="G359" s="170">
        <f t="shared" si="37"/>
        <v>1558.0268078194088</v>
      </c>
    </row>
    <row r="360" spans="1:9">
      <c r="A360" s="168">
        <v>346</v>
      </c>
      <c r="B360" s="171">
        <f t="shared" si="34"/>
        <v>107.36432460242781</v>
      </c>
      <c r="C360" s="171">
        <f t="shared" si="35"/>
        <v>6.491778365914203</v>
      </c>
      <c r="D360" s="171">
        <f t="shared" si="36"/>
        <v>100.87254623651361</v>
      </c>
      <c r="E360" s="169">
        <f t="shared" si="38"/>
        <v>0</v>
      </c>
      <c r="F360" s="169"/>
      <c r="G360" s="170">
        <f t="shared" si="37"/>
        <v>1457.1542615828951</v>
      </c>
    </row>
    <row r="361" spans="1:9">
      <c r="A361" s="168">
        <v>347</v>
      </c>
      <c r="B361" s="171">
        <f t="shared" si="34"/>
        <v>107.36432460242781</v>
      </c>
      <c r="C361" s="171">
        <f t="shared" si="35"/>
        <v>6.071476089928729</v>
      </c>
      <c r="D361" s="171">
        <f t="shared" si="36"/>
        <v>101.29284851249909</v>
      </c>
      <c r="E361" s="169">
        <f t="shared" si="38"/>
        <v>0</v>
      </c>
      <c r="F361" s="169"/>
      <c r="G361" s="170">
        <f t="shared" si="37"/>
        <v>1355.8614130703959</v>
      </c>
    </row>
    <row r="362" spans="1:9">
      <c r="A362" s="168">
        <v>348</v>
      </c>
      <c r="B362" s="171">
        <f t="shared" si="34"/>
        <v>107.36432460242781</v>
      </c>
      <c r="C362" s="171">
        <f t="shared" si="35"/>
        <v>5.6494225544599832</v>
      </c>
      <c r="D362" s="171">
        <f t="shared" si="36"/>
        <v>101.71490204796783</v>
      </c>
      <c r="E362" s="169">
        <f t="shared" si="38"/>
        <v>0</v>
      </c>
      <c r="F362" s="169"/>
      <c r="G362" s="170">
        <f t="shared" si="37"/>
        <v>1254.1465110224281</v>
      </c>
      <c r="H362" s="182">
        <f>SUM(D351:D362)</f>
        <v>1193.1049951009575</v>
      </c>
      <c r="I362">
        <f>A362/12</f>
        <v>29</v>
      </c>
    </row>
    <row r="363" spans="1:9">
      <c r="A363" s="168">
        <v>349</v>
      </c>
      <c r="B363" s="171">
        <f t="shared" si="34"/>
        <v>107.36432460242781</v>
      </c>
      <c r="C363" s="171">
        <f t="shared" si="35"/>
        <v>5.2256104625934503</v>
      </c>
      <c r="D363" s="171">
        <f t="shared" si="36"/>
        <v>102.13871413983436</v>
      </c>
      <c r="E363" s="169">
        <f t="shared" si="38"/>
        <v>0</v>
      </c>
      <c r="F363" s="169"/>
      <c r="G363" s="170">
        <f t="shared" si="37"/>
        <v>1152.0077968825938</v>
      </c>
    </row>
    <row r="364" spans="1:9">
      <c r="A364" s="168">
        <v>350</v>
      </c>
      <c r="B364" s="171">
        <f t="shared" si="34"/>
        <v>107.36432460242781</v>
      </c>
      <c r="C364" s="171">
        <f t="shared" si="35"/>
        <v>4.8000324870108075</v>
      </c>
      <c r="D364" s="171">
        <f t="shared" si="36"/>
        <v>102.564292115417</v>
      </c>
      <c r="E364" s="169">
        <f t="shared" si="38"/>
        <v>0</v>
      </c>
      <c r="F364" s="169"/>
      <c r="G364" s="170">
        <f t="shared" si="37"/>
        <v>1049.4435047671768</v>
      </c>
    </row>
    <row r="365" spans="1:9">
      <c r="A365" s="168">
        <v>351</v>
      </c>
      <c r="B365" s="171">
        <f t="shared" si="34"/>
        <v>107.36432460242781</v>
      </c>
      <c r="C365" s="171">
        <f t="shared" si="35"/>
        <v>4.3726812698632367</v>
      </c>
      <c r="D365" s="171">
        <f t="shared" si="36"/>
        <v>102.99164333256458</v>
      </c>
      <c r="E365" s="169">
        <f t="shared" si="38"/>
        <v>0</v>
      </c>
      <c r="F365" s="169"/>
      <c r="G365" s="170">
        <f t="shared" si="37"/>
        <v>946.45186143461228</v>
      </c>
    </row>
    <row r="366" spans="1:9">
      <c r="A366" s="168">
        <v>352</v>
      </c>
      <c r="B366" s="171">
        <f t="shared" si="34"/>
        <v>107.36432460242781</v>
      </c>
      <c r="C366" s="171">
        <f t="shared" si="35"/>
        <v>3.9435494226442178</v>
      </c>
      <c r="D366" s="171">
        <f t="shared" si="36"/>
        <v>103.42077517978359</v>
      </c>
      <c r="E366" s="169">
        <f t="shared" si="38"/>
        <v>0</v>
      </c>
      <c r="F366" s="169"/>
      <c r="G366" s="170">
        <f t="shared" si="37"/>
        <v>843.03108625482867</v>
      </c>
    </row>
    <row r="367" spans="1:9">
      <c r="A367" s="168">
        <v>353</v>
      </c>
      <c r="B367" s="171">
        <f t="shared" si="34"/>
        <v>107.36432460242781</v>
      </c>
      <c r="C367" s="171">
        <f t="shared" si="35"/>
        <v>3.5126295260617861</v>
      </c>
      <c r="D367" s="171">
        <f t="shared" si="36"/>
        <v>103.85169507636603</v>
      </c>
      <c r="E367" s="169">
        <f t="shared" si="38"/>
        <v>0</v>
      </c>
      <c r="F367" s="169"/>
      <c r="G367" s="170">
        <f t="shared" si="37"/>
        <v>739.17939117846265</v>
      </c>
    </row>
    <row r="368" spans="1:9">
      <c r="A368" s="168">
        <v>354</v>
      </c>
      <c r="B368" s="171">
        <f t="shared" si="34"/>
        <v>107.36432460242781</v>
      </c>
      <c r="C368" s="171">
        <f t="shared" si="35"/>
        <v>3.0799141299102608</v>
      </c>
      <c r="D368" s="171">
        <f t="shared" si="36"/>
        <v>104.28441047251755</v>
      </c>
      <c r="E368" s="169">
        <f t="shared" si="38"/>
        <v>0</v>
      </c>
      <c r="F368" s="169"/>
      <c r="G368" s="170">
        <f t="shared" si="37"/>
        <v>634.89498070594504</v>
      </c>
    </row>
    <row r="369" spans="1:11">
      <c r="A369" s="168">
        <v>355</v>
      </c>
      <c r="B369" s="171">
        <f t="shared" si="34"/>
        <v>107.36432460242781</v>
      </c>
      <c r="C369" s="171">
        <f t="shared" si="35"/>
        <v>2.6453957529414378</v>
      </c>
      <c r="D369" s="171">
        <f t="shared" si="36"/>
        <v>104.71892884948637</v>
      </c>
      <c r="E369" s="169">
        <f t="shared" si="38"/>
        <v>0</v>
      </c>
      <c r="F369" s="169"/>
      <c r="G369" s="170">
        <f t="shared" si="37"/>
        <v>530.17605185645868</v>
      </c>
    </row>
    <row r="370" spans="1:11">
      <c r="A370" s="168">
        <v>356</v>
      </c>
      <c r="B370" s="171">
        <f t="shared" si="34"/>
        <v>107.36432460242781</v>
      </c>
      <c r="C370" s="171">
        <f t="shared" si="35"/>
        <v>2.2090668827352444</v>
      </c>
      <c r="D370" s="171">
        <f t="shared" si="36"/>
        <v>105.15525771969257</v>
      </c>
      <c r="E370" s="169">
        <f t="shared" si="38"/>
        <v>0</v>
      </c>
      <c r="F370" s="169"/>
      <c r="G370" s="170">
        <f t="shared" si="37"/>
        <v>425.02079413676609</v>
      </c>
    </row>
    <row r="371" spans="1:11">
      <c r="A371" s="168">
        <v>357</v>
      </c>
      <c r="B371" s="171">
        <f t="shared" si="34"/>
        <v>107.36432460242781</v>
      </c>
      <c r="C371" s="171">
        <f t="shared" si="35"/>
        <v>1.7709199755698586</v>
      </c>
      <c r="D371" s="171">
        <f t="shared" si="36"/>
        <v>105.59340462685796</v>
      </c>
      <c r="E371" s="169">
        <f t="shared" si="38"/>
        <v>0</v>
      </c>
      <c r="F371" s="169"/>
      <c r="G371" s="170">
        <f t="shared" si="37"/>
        <v>319.42738950990815</v>
      </c>
    </row>
    <row r="372" spans="1:11">
      <c r="A372" s="168">
        <v>358</v>
      </c>
      <c r="B372" s="171">
        <f t="shared" si="34"/>
        <v>107.36432460242781</v>
      </c>
      <c r="C372" s="171">
        <f t="shared" si="35"/>
        <v>1.330947456291284</v>
      </c>
      <c r="D372" s="171">
        <f t="shared" si="36"/>
        <v>106.03337714613653</v>
      </c>
      <c r="E372" s="169">
        <f t="shared" si="38"/>
        <v>0</v>
      </c>
      <c r="F372" s="169"/>
      <c r="G372" s="170">
        <f t="shared" si="37"/>
        <v>213.39401236377162</v>
      </c>
    </row>
    <row r="373" spans="1:11">
      <c r="A373" s="168">
        <v>359</v>
      </c>
      <c r="B373" s="171">
        <f t="shared" si="34"/>
        <v>107.36432460242781</v>
      </c>
      <c r="C373" s="171">
        <f t="shared" si="35"/>
        <v>0.88914171818238175</v>
      </c>
      <c r="D373" s="171">
        <f t="shared" si="36"/>
        <v>106.47518288424543</v>
      </c>
      <c r="E373" s="169">
        <f t="shared" si="38"/>
        <v>0</v>
      </c>
      <c r="F373" s="169"/>
      <c r="G373" s="170">
        <f t="shared" si="37"/>
        <v>106.9188294795262</v>
      </c>
    </row>
    <row r="374" spans="1:11">
      <c r="A374" s="168">
        <v>360</v>
      </c>
      <c r="B374" s="171">
        <f t="shared" si="34"/>
        <v>107.36432460235756</v>
      </c>
      <c r="C374" s="171">
        <f t="shared" si="35"/>
        <v>0.44549512283135911</v>
      </c>
      <c r="D374" s="171">
        <f t="shared" si="36"/>
        <v>106.9188294795262</v>
      </c>
      <c r="E374" s="169">
        <f t="shared" si="38"/>
        <v>0</v>
      </c>
      <c r="F374" s="169"/>
      <c r="G374" s="170">
        <f t="shared" si="37"/>
        <v>0</v>
      </c>
      <c r="H374" s="182">
        <f>SUM(D363:D374)</f>
        <v>1254.1465110224281</v>
      </c>
      <c r="I374">
        <f>A374/12</f>
        <v>30</v>
      </c>
    </row>
    <row r="376" spans="1:11">
      <c r="K376" s="164"/>
    </row>
  </sheetData>
  <sheetProtection sheet="1" objects="1" scenarios="1"/>
  <conditionalFormatting sqref="A15:G374">
    <cfRule type="expression" dxfId="2" priority="1" stopIfTrue="1">
      <formula>ROUND($G14,5)=0</formula>
    </cfRule>
    <cfRule type="expression" dxfId="1" priority="2" stopIfTrue="1">
      <formula>$A15&gt;($B$3*$B$5)</formula>
    </cfRule>
    <cfRule type="expression" dxfId="0" priority="3" stopIfTrue="1">
      <formula>ROUND($G15,5)=0</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9217" r:id="rId3" name="Scroll Bar 1">
              <controlPr defaultSize="0" autoPict="0">
                <anchor moveWithCells="1">
                  <from>
                    <xdr:col>9</xdr:col>
                    <xdr:colOff>0</xdr:colOff>
                    <xdr:row>29</xdr:row>
                    <xdr:rowOff>15240</xdr:rowOff>
                  </from>
                  <to>
                    <xdr:col>18</xdr:col>
                    <xdr:colOff>0</xdr:colOff>
                    <xdr:row>30</xdr:row>
                    <xdr:rowOff>60960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64"/>
  <sheetViews>
    <sheetView workbookViewId="0">
      <selection activeCell="I2" sqref="I2"/>
    </sheetView>
  </sheetViews>
  <sheetFormatPr defaultColWidth="10.21875" defaultRowHeight="13.8"/>
  <cols>
    <col min="1" max="1" width="12" style="41" bestFit="1" customWidth="1"/>
    <col min="2" max="2" width="12" style="41" customWidth="1"/>
    <col min="3" max="3" width="11.21875" style="41" customWidth="1"/>
    <col min="4" max="4" width="9.77734375" style="41" customWidth="1"/>
    <col min="5" max="5" width="19.77734375" style="41" customWidth="1"/>
    <col min="6" max="7" width="20.21875" style="41" customWidth="1"/>
    <col min="8" max="9" width="7.77734375" style="41" customWidth="1"/>
    <col min="10" max="10" width="10.21875" style="41"/>
    <col min="11" max="11" width="10.77734375" style="41" bestFit="1" customWidth="1"/>
    <col min="12" max="16384" width="10.21875" style="41"/>
  </cols>
  <sheetData>
    <row r="1" spans="1:11" ht="12" customHeight="1">
      <c r="A1" s="38" t="s">
        <v>150</v>
      </c>
      <c r="B1" s="38"/>
      <c r="C1" s="39">
        <f>'Analysis Worksheet'!F11</f>
        <v>313600</v>
      </c>
      <c r="D1" s="40"/>
      <c r="E1" s="40"/>
      <c r="F1" s="40"/>
      <c r="G1" s="40"/>
      <c r="H1" s="40"/>
      <c r="I1" s="40"/>
    </row>
    <row r="2" spans="1:11" ht="12" customHeight="1">
      <c r="A2" s="38" t="s">
        <v>13</v>
      </c>
      <c r="B2" s="38"/>
      <c r="C2" s="42">
        <f>'Analysis Worksheet'!F12</f>
        <v>7.0000000000000007E-2</v>
      </c>
      <c r="D2" s="40"/>
      <c r="E2" s="40"/>
      <c r="F2" s="40"/>
      <c r="G2" s="40"/>
      <c r="H2" s="40"/>
      <c r="I2" s="40"/>
    </row>
    <row r="3" spans="1:11" ht="12" customHeight="1">
      <c r="A3" s="38" t="s">
        <v>151</v>
      </c>
      <c r="B3" s="38"/>
      <c r="C3" s="43">
        <f>'Analysis Worksheet'!F17*'Analysis Worksheet'!F16</f>
        <v>360</v>
      </c>
      <c r="D3" s="40"/>
      <c r="E3" s="40"/>
      <c r="F3" s="40"/>
      <c r="G3" s="40"/>
      <c r="H3" s="40"/>
      <c r="I3" s="40"/>
    </row>
    <row r="4" spans="1:11" ht="12" customHeight="1">
      <c r="A4" s="38" t="s">
        <v>152</v>
      </c>
      <c r="B4" s="38"/>
      <c r="C4" s="38" t="s">
        <v>88</v>
      </c>
      <c r="D4" s="38" t="s">
        <v>87</v>
      </c>
      <c r="E4" s="38" t="s">
        <v>110</v>
      </c>
      <c r="F4" s="38" t="s">
        <v>153</v>
      </c>
      <c r="G4" s="38" t="s">
        <v>154</v>
      </c>
      <c r="H4" s="38" t="s">
        <v>93</v>
      </c>
      <c r="I4" s="40"/>
    </row>
    <row r="5" spans="1:11" ht="12" customHeight="1">
      <c r="A5" s="49">
        <v>1</v>
      </c>
      <c r="B5" s="49"/>
      <c r="C5" s="50">
        <f t="shared" ref="C5:C68" si="0">PPMT(C$2/12,A5,C$3,C$1*-1)</f>
        <v>257.05529154858505</v>
      </c>
      <c r="D5" s="50">
        <f t="shared" ref="D5:D68" si="1">IPMT(C$2/12,A5,C$3,C$1*-1)</f>
        <v>1829.3333333333335</v>
      </c>
      <c r="E5" s="50"/>
      <c r="F5" s="50"/>
      <c r="G5" s="50"/>
      <c r="H5" s="51">
        <f t="shared" ref="H5:H68" si="2">ROUNDUP(A5/12,0)</f>
        <v>1</v>
      </c>
      <c r="I5" s="40"/>
      <c r="K5" s="52"/>
    </row>
    <row r="6" spans="1:11" ht="12" customHeight="1">
      <c r="A6" s="49">
        <v>2</v>
      </c>
      <c r="B6" s="49"/>
      <c r="C6" s="50">
        <f t="shared" si="0"/>
        <v>258.55478074928504</v>
      </c>
      <c r="D6" s="50">
        <f t="shared" si="1"/>
        <v>1827.8338441326337</v>
      </c>
      <c r="E6" s="50"/>
      <c r="F6" s="50"/>
      <c r="G6" s="50"/>
      <c r="H6" s="51">
        <f t="shared" si="2"/>
        <v>1</v>
      </c>
      <c r="I6" s="40"/>
    </row>
    <row r="7" spans="1:11" ht="12" customHeight="1">
      <c r="A7" s="49">
        <v>3</v>
      </c>
      <c r="B7" s="49"/>
      <c r="C7" s="50">
        <f t="shared" si="0"/>
        <v>260.06301697032256</v>
      </c>
      <c r="D7" s="50">
        <f t="shared" si="1"/>
        <v>1826.3256079115963</v>
      </c>
      <c r="E7" s="50"/>
      <c r="F7" s="50"/>
      <c r="G7" s="50"/>
      <c r="H7" s="51">
        <f t="shared" si="2"/>
        <v>1</v>
      </c>
      <c r="I7" s="40"/>
    </row>
    <row r="8" spans="1:11" ht="12" customHeight="1">
      <c r="A8" s="49">
        <v>4</v>
      </c>
      <c r="B8" s="49"/>
      <c r="C8" s="50">
        <f t="shared" si="0"/>
        <v>261.58005123598281</v>
      </c>
      <c r="D8" s="50">
        <f t="shared" si="1"/>
        <v>1824.8085736459359</v>
      </c>
      <c r="E8" s="50"/>
      <c r="F8" s="50"/>
      <c r="G8" s="50"/>
      <c r="H8" s="51">
        <f t="shared" si="2"/>
        <v>1</v>
      </c>
      <c r="I8" s="40"/>
    </row>
    <row r="9" spans="1:11" ht="12" customHeight="1">
      <c r="A9" s="49">
        <v>5</v>
      </c>
      <c r="B9" s="49"/>
      <c r="C9" s="50">
        <f t="shared" si="0"/>
        <v>263.10593486819272</v>
      </c>
      <c r="D9" s="50">
        <f t="shared" si="1"/>
        <v>1823.2826900137261</v>
      </c>
      <c r="E9" s="50"/>
      <c r="F9" s="50"/>
      <c r="G9" s="50"/>
      <c r="H9" s="51">
        <f t="shared" si="2"/>
        <v>1</v>
      </c>
      <c r="I9" s="40"/>
    </row>
    <row r="10" spans="1:11" ht="12" customHeight="1">
      <c r="A10" s="49">
        <v>6</v>
      </c>
      <c r="B10" s="49"/>
      <c r="C10" s="50">
        <f t="shared" si="0"/>
        <v>264.64071948825716</v>
      </c>
      <c r="D10" s="50">
        <f t="shared" si="1"/>
        <v>1821.7479053936615</v>
      </c>
      <c r="E10" s="50"/>
      <c r="F10" s="50"/>
      <c r="G10" s="50"/>
      <c r="H10" s="51">
        <f t="shared" si="2"/>
        <v>1</v>
      </c>
      <c r="I10" s="40"/>
    </row>
    <row r="11" spans="1:11" ht="12" customHeight="1">
      <c r="A11" s="49">
        <v>7</v>
      </c>
      <c r="B11" s="49"/>
      <c r="C11" s="50">
        <f t="shared" si="0"/>
        <v>266.18445701860531</v>
      </c>
      <c r="D11" s="50">
        <f t="shared" si="1"/>
        <v>1820.2041678633132</v>
      </c>
      <c r="E11" s="50"/>
      <c r="F11" s="50"/>
      <c r="G11" s="50"/>
      <c r="H11" s="51">
        <f t="shared" si="2"/>
        <v>1</v>
      </c>
      <c r="I11" s="40"/>
    </row>
    <row r="12" spans="1:11" ht="12" customHeight="1">
      <c r="A12" s="49">
        <v>8</v>
      </c>
      <c r="B12" s="49"/>
      <c r="C12" s="50">
        <f t="shared" si="0"/>
        <v>267.73719968454714</v>
      </c>
      <c r="D12" s="50">
        <f t="shared" si="1"/>
        <v>1818.6514251973715</v>
      </c>
      <c r="E12" s="50"/>
      <c r="F12" s="50"/>
      <c r="G12" s="50"/>
      <c r="H12" s="51">
        <f t="shared" si="2"/>
        <v>1</v>
      </c>
      <c r="I12" s="40"/>
    </row>
    <row r="13" spans="1:11" ht="12" customHeight="1">
      <c r="A13" s="49">
        <v>9</v>
      </c>
      <c r="B13" s="49"/>
      <c r="C13" s="50">
        <f t="shared" si="0"/>
        <v>269.29900001604034</v>
      </c>
      <c r="D13" s="50">
        <f t="shared" si="1"/>
        <v>1817.089624865878</v>
      </c>
      <c r="E13" s="50"/>
      <c r="F13" s="50"/>
      <c r="G13" s="50"/>
      <c r="H13" s="51">
        <f t="shared" si="2"/>
        <v>1</v>
      </c>
      <c r="I13" s="40"/>
    </row>
    <row r="14" spans="1:11" ht="12" customHeight="1">
      <c r="A14" s="49">
        <v>10</v>
      </c>
      <c r="B14" s="49"/>
      <c r="C14" s="50">
        <f t="shared" si="0"/>
        <v>270.86991084946732</v>
      </c>
      <c r="D14" s="50">
        <f t="shared" si="1"/>
        <v>1815.5187140324513</v>
      </c>
      <c r="E14" s="50"/>
      <c r="F14" s="50"/>
      <c r="G14" s="50"/>
      <c r="H14" s="51">
        <f t="shared" si="2"/>
        <v>1</v>
      </c>
      <c r="I14" s="40"/>
    </row>
    <row r="15" spans="1:11" ht="12" customHeight="1">
      <c r="A15" s="49">
        <v>11</v>
      </c>
      <c r="B15" s="49"/>
      <c r="C15" s="50">
        <f t="shared" si="0"/>
        <v>272.44998532942253</v>
      </c>
      <c r="D15" s="50">
        <f t="shared" si="1"/>
        <v>1813.9386395524959</v>
      </c>
      <c r="E15" s="50"/>
      <c r="F15" s="50"/>
      <c r="G15" s="50"/>
      <c r="H15" s="51">
        <f t="shared" si="2"/>
        <v>1</v>
      </c>
      <c r="I15" s="40"/>
    </row>
    <row r="16" spans="1:11" ht="12" customHeight="1">
      <c r="A16" s="46">
        <v>12</v>
      </c>
      <c r="B16" s="46"/>
      <c r="C16" s="47">
        <f t="shared" si="0"/>
        <v>274.03927691051075</v>
      </c>
      <c r="D16" s="47">
        <f t="shared" si="1"/>
        <v>1812.3493479714077</v>
      </c>
      <c r="E16" s="47">
        <f>C1-SUM(C5:C16)</f>
        <v>310414.42037533078</v>
      </c>
      <c r="F16" s="47">
        <f>SUM(C5:C16)</f>
        <v>3185.5796246692184</v>
      </c>
      <c r="G16" s="47">
        <f>SUM(C5:C16)</f>
        <v>3185.5796246692184</v>
      </c>
      <c r="H16" s="48">
        <f t="shared" si="2"/>
        <v>1</v>
      </c>
      <c r="I16" s="40"/>
    </row>
    <row r="17" spans="1:9" ht="12" customHeight="1">
      <c r="A17" s="43">
        <v>13</v>
      </c>
      <c r="B17" s="43"/>
      <c r="C17" s="44">
        <f t="shared" si="0"/>
        <v>275.63783935915541</v>
      </c>
      <c r="D17" s="44">
        <f t="shared" si="1"/>
        <v>1810.7507855227634</v>
      </c>
      <c r="E17" s="44"/>
      <c r="F17" s="44"/>
      <c r="G17" s="44"/>
      <c r="H17" s="45">
        <f t="shared" si="2"/>
        <v>2</v>
      </c>
      <c r="I17" s="40"/>
    </row>
    <row r="18" spans="1:9" ht="12" customHeight="1">
      <c r="A18" s="43">
        <v>14</v>
      </c>
      <c r="B18" s="43"/>
      <c r="C18" s="44">
        <f t="shared" si="0"/>
        <v>277.24572675541719</v>
      </c>
      <c r="D18" s="44">
        <f t="shared" si="1"/>
        <v>1809.1428981265014</v>
      </c>
      <c r="E18" s="44"/>
      <c r="F18" s="44"/>
      <c r="G18" s="44"/>
      <c r="H18" s="45">
        <f t="shared" si="2"/>
        <v>2</v>
      </c>
      <c r="I18" s="40"/>
    </row>
    <row r="19" spans="1:9" ht="12" customHeight="1">
      <c r="A19" s="43">
        <v>15</v>
      </c>
      <c r="B19" s="43"/>
      <c r="C19" s="44">
        <f t="shared" si="0"/>
        <v>278.86299349482374</v>
      </c>
      <c r="D19" s="44">
        <f t="shared" si="1"/>
        <v>1807.5256313870948</v>
      </c>
      <c r="E19" s="44"/>
      <c r="F19" s="44"/>
      <c r="G19" s="44"/>
      <c r="H19" s="45">
        <f t="shared" si="2"/>
        <v>2</v>
      </c>
      <c r="I19" s="40"/>
    </row>
    <row r="20" spans="1:9" ht="12" customHeight="1">
      <c r="A20" s="43">
        <v>16</v>
      </c>
      <c r="B20" s="43"/>
      <c r="C20" s="44">
        <f t="shared" si="0"/>
        <v>280.48969429021031</v>
      </c>
      <c r="D20" s="44">
        <f t="shared" si="1"/>
        <v>1805.8989305917082</v>
      </c>
      <c r="E20" s="44"/>
      <c r="F20" s="44"/>
      <c r="G20" s="44"/>
      <c r="H20" s="45">
        <f t="shared" si="2"/>
        <v>2</v>
      </c>
      <c r="I20" s="40"/>
    </row>
    <row r="21" spans="1:9" ht="12" customHeight="1">
      <c r="A21" s="43">
        <v>17</v>
      </c>
      <c r="B21" s="43"/>
      <c r="C21" s="44">
        <f t="shared" si="0"/>
        <v>282.12588417356989</v>
      </c>
      <c r="D21" s="44">
        <f t="shared" si="1"/>
        <v>1804.2627407083487</v>
      </c>
      <c r="E21" s="44"/>
      <c r="F21" s="44"/>
      <c r="G21" s="44"/>
      <c r="H21" s="45">
        <f t="shared" si="2"/>
        <v>2</v>
      </c>
      <c r="I21" s="40"/>
    </row>
    <row r="22" spans="1:9" ht="12" customHeight="1">
      <c r="A22" s="43">
        <v>18</v>
      </c>
      <c r="B22" s="43"/>
      <c r="C22" s="44">
        <f t="shared" si="0"/>
        <v>283.77161849791565</v>
      </c>
      <c r="D22" s="44">
        <f t="shared" si="1"/>
        <v>1802.6170063840027</v>
      </c>
      <c r="E22" s="44"/>
      <c r="F22" s="44"/>
      <c r="G22" s="44"/>
      <c r="H22" s="45">
        <f t="shared" si="2"/>
        <v>2</v>
      </c>
      <c r="I22" s="40"/>
    </row>
    <row r="23" spans="1:9" ht="12" customHeight="1">
      <c r="A23" s="43">
        <v>19</v>
      </c>
      <c r="B23" s="43"/>
      <c r="C23" s="44">
        <f t="shared" si="0"/>
        <v>285.42695293915347</v>
      </c>
      <c r="D23" s="44">
        <f t="shared" si="1"/>
        <v>1800.9616719427652</v>
      </c>
      <c r="E23" s="44"/>
      <c r="F23" s="44"/>
      <c r="G23" s="44"/>
      <c r="H23" s="45">
        <f t="shared" si="2"/>
        <v>2</v>
      </c>
      <c r="I23" s="40"/>
    </row>
    <row r="24" spans="1:9" ht="12" customHeight="1">
      <c r="A24" s="43">
        <v>20</v>
      </c>
      <c r="B24" s="43"/>
      <c r="C24" s="44">
        <f t="shared" si="0"/>
        <v>287.09194349796519</v>
      </c>
      <c r="D24" s="44">
        <f t="shared" si="1"/>
        <v>1799.2966813839537</v>
      </c>
      <c r="E24" s="44"/>
      <c r="F24" s="44"/>
      <c r="G24" s="44"/>
      <c r="H24" s="45">
        <f t="shared" si="2"/>
        <v>2</v>
      </c>
      <c r="I24" s="40"/>
    </row>
    <row r="25" spans="1:9" ht="12" customHeight="1">
      <c r="A25" s="43">
        <v>21</v>
      </c>
      <c r="B25" s="43"/>
      <c r="C25" s="44">
        <f t="shared" si="0"/>
        <v>288.76664650170329</v>
      </c>
      <c r="D25" s="44">
        <f t="shared" si="1"/>
        <v>1797.6219783802153</v>
      </c>
      <c r="E25" s="44"/>
      <c r="F25" s="44"/>
      <c r="G25" s="44"/>
      <c r="H25" s="45">
        <f t="shared" si="2"/>
        <v>2</v>
      </c>
      <c r="I25" s="40"/>
    </row>
    <row r="26" spans="1:9" ht="12" customHeight="1">
      <c r="A26" s="43">
        <v>22</v>
      </c>
      <c r="B26" s="43"/>
      <c r="C26" s="44">
        <f t="shared" si="0"/>
        <v>290.45111860629657</v>
      </c>
      <c r="D26" s="44">
        <f t="shared" si="1"/>
        <v>1795.9375062756219</v>
      </c>
      <c r="E26" s="44"/>
      <c r="F26" s="44"/>
      <c r="G26" s="44"/>
      <c r="H26" s="45">
        <f t="shared" si="2"/>
        <v>2</v>
      </c>
      <c r="I26" s="40"/>
    </row>
    <row r="27" spans="1:9" ht="12" customHeight="1">
      <c r="A27" s="43">
        <v>23</v>
      </c>
      <c r="B27" s="43"/>
      <c r="C27" s="44">
        <f t="shared" si="0"/>
        <v>292.14541679816665</v>
      </c>
      <c r="D27" s="44">
        <f t="shared" si="1"/>
        <v>1794.2432080837516</v>
      </c>
      <c r="E27" s="44"/>
      <c r="F27" s="44"/>
      <c r="G27" s="44"/>
      <c r="H27" s="45">
        <f t="shared" si="2"/>
        <v>2</v>
      </c>
      <c r="I27" s="40"/>
    </row>
    <row r="28" spans="1:9" ht="12" customHeight="1">
      <c r="A28" s="46">
        <v>24</v>
      </c>
      <c r="B28" s="46"/>
      <c r="C28" s="47">
        <f t="shared" si="0"/>
        <v>293.84959839615595</v>
      </c>
      <c r="D28" s="47">
        <f t="shared" si="1"/>
        <v>1792.5390264857626</v>
      </c>
      <c r="E28" s="47">
        <f>C1-SUM(C5:C28)</f>
        <v>306998.55494202027</v>
      </c>
      <c r="F28" s="47">
        <f>SUM(C5:C28)</f>
        <v>6601.4450579797513</v>
      </c>
      <c r="G28" s="47">
        <f>SUM(C17:C28)</f>
        <v>3415.8654333105328</v>
      </c>
      <c r="H28" s="48">
        <f t="shared" si="2"/>
        <v>2</v>
      </c>
      <c r="I28" s="40"/>
    </row>
    <row r="29" spans="1:9" ht="12" customHeight="1">
      <c r="A29" s="49">
        <v>25</v>
      </c>
      <c r="B29" s="49"/>
      <c r="C29" s="50">
        <f t="shared" si="0"/>
        <v>295.56372105346691</v>
      </c>
      <c r="D29" s="50">
        <f t="shared" si="1"/>
        <v>1790.8249038284516</v>
      </c>
      <c r="E29" s="50"/>
      <c r="F29" s="50"/>
      <c r="G29" s="50"/>
      <c r="H29" s="51">
        <f t="shared" si="2"/>
        <v>3</v>
      </c>
      <c r="I29" s="40"/>
    </row>
    <row r="30" spans="1:9" ht="12" customHeight="1">
      <c r="A30" s="49">
        <v>26</v>
      </c>
      <c r="B30" s="49"/>
      <c r="C30" s="50">
        <f t="shared" si="0"/>
        <v>297.28784275961215</v>
      </c>
      <c r="D30" s="50">
        <f t="shared" si="1"/>
        <v>1789.1007821223063</v>
      </c>
      <c r="E30" s="50"/>
      <c r="F30" s="50"/>
      <c r="G30" s="50"/>
      <c r="H30" s="51">
        <f t="shared" si="2"/>
        <v>3</v>
      </c>
      <c r="I30" s="40"/>
    </row>
    <row r="31" spans="1:9" ht="12" customHeight="1">
      <c r="A31" s="49">
        <v>27</v>
      </c>
      <c r="B31" s="49"/>
      <c r="C31" s="50">
        <f t="shared" si="0"/>
        <v>299.02202184237655</v>
      </c>
      <c r="D31" s="50">
        <f t="shared" si="1"/>
        <v>1787.3666030395423</v>
      </c>
      <c r="E31" s="50"/>
      <c r="F31" s="50"/>
      <c r="G31" s="50"/>
      <c r="H31" s="51">
        <f t="shared" si="2"/>
        <v>3</v>
      </c>
      <c r="I31" s="40"/>
    </row>
    <row r="32" spans="1:9" ht="12" customHeight="1">
      <c r="A32" s="49">
        <v>28</v>
      </c>
      <c r="B32" s="49"/>
      <c r="C32" s="50">
        <f t="shared" si="0"/>
        <v>300.76631696979035</v>
      </c>
      <c r="D32" s="50">
        <f t="shared" si="1"/>
        <v>1785.622307912128</v>
      </c>
      <c r="E32" s="50"/>
      <c r="F32" s="50"/>
      <c r="G32" s="50"/>
      <c r="H32" s="51">
        <f t="shared" si="2"/>
        <v>3</v>
      </c>
      <c r="I32" s="40"/>
    </row>
    <row r="33" spans="1:9" ht="12" customHeight="1">
      <c r="A33" s="49">
        <v>29</v>
      </c>
      <c r="B33" s="49"/>
      <c r="C33" s="50">
        <f t="shared" si="0"/>
        <v>302.52078715211405</v>
      </c>
      <c r="D33" s="50">
        <f t="shared" si="1"/>
        <v>1783.8678377298045</v>
      </c>
      <c r="E33" s="50"/>
      <c r="F33" s="50"/>
      <c r="G33" s="50"/>
      <c r="H33" s="51">
        <f t="shared" si="2"/>
        <v>3</v>
      </c>
      <c r="I33" s="40"/>
    </row>
    <row r="34" spans="1:9" ht="12" customHeight="1">
      <c r="A34" s="49">
        <v>30</v>
      </c>
      <c r="B34" s="49"/>
      <c r="C34" s="50">
        <f t="shared" si="0"/>
        <v>304.28549174383477</v>
      </c>
      <c r="D34" s="50">
        <f t="shared" si="1"/>
        <v>1782.1031331380839</v>
      </c>
      <c r="E34" s="50"/>
      <c r="F34" s="50"/>
      <c r="G34" s="50"/>
      <c r="H34" s="51">
        <f t="shared" si="2"/>
        <v>3</v>
      </c>
      <c r="I34" s="40"/>
    </row>
    <row r="35" spans="1:9" ht="12" customHeight="1">
      <c r="A35" s="49">
        <v>31</v>
      </c>
      <c r="B35" s="49"/>
      <c r="C35" s="50">
        <f t="shared" si="0"/>
        <v>306.06049044567385</v>
      </c>
      <c r="D35" s="50">
        <f t="shared" si="1"/>
        <v>1780.3281344362449</v>
      </c>
      <c r="E35" s="50"/>
      <c r="F35" s="50"/>
      <c r="G35" s="50"/>
      <c r="H35" s="51">
        <f t="shared" si="2"/>
        <v>3</v>
      </c>
      <c r="I35" s="40"/>
    </row>
    <row r="36" spans="1:9" ht="12" customHeight="1">
      <c r="A36" s="49">
        <v>32</v>
      </c>
      <c r="B36" s="49"/>
      <c r="C36" s="50">
        <f t="shared" si="0"/>
        <v>307.84584330660692</v>
      </c>
      <c r="D36" s="50">
        <f t="shared" si="1"/>
        <v>1778.5427815753117</v>
      </c>
      <c r="E36" s="50"/>
      <c r="F36" s="50"/>
      <c r="G36" s="50"/>
      <c r="H36" s="51">
        <f t="shared" si="2"/>
        <v>3</v>
      </c>
      <c r="I36" s="40"/>
    </row>
    <row r="37" spans="1:9" ht="12" customHeight="1">
      <c r="A37" s="49">
        <v>33</v>
      </c>
      <c r="B37" s="49"/>
      <c r="C37" s="50">
        <f t="shared" si="0"/>
        <v>309.64161072589553</v>
      </c>
      <c r="D37" s="50">
        <f t="shared" si="1"/>
        <v>1776.7470141560234</v>
      </c>
      <c r="E37" s="50"/>
      <c r="F37" s="50"/>
      <c r="G37" s="50"/>
      <c r="H37" s="51">
        <f t="shared" si="2"/>
        <v>3</v>
      </c>
      <c r="I37" s="40"/>
    </row>
    <row r="38" spans="1:9" ht="12" customHeight="1">
      <c r="A38" s="49">
        <v>34</v>
      </c>
      <c r="B38" s="49"/>
      <c r="C38" s="50">
        <f t="shared" si="0"/>
        <v>311.44785345512986</v>
      </c>
      <c r="D38" s="50">
        <f t="shared" si="1"/>
        <v>1774.9407714267888</v>
      </c>
      <c r="E38" s="50"/>
      <c r="F38" s="50"/>
      <c r="G38" s="50"/>
      <c r="H38" s="51">
        <f t="shared" si="2"/>
        <v>3</v>
      </c>
      <c r="I38" s="40"/>
    </row>
    <row r="39" spans="1:9" ht="12" customHeight="1">
      <c r="A39" s="49">
        <v>35</v>
      </c>
      <c r="B39" s="49"/>
      <c r="C39" s="50">
        <f t="shared" si="0"/>
        <v>313.26463260028476</v>
      </c>
      <c r="D39" s="50">
        <f t="shared" si="1"/>
        <v>1773.1239922816339</v>
      </c>
      <c r="E39" s="50"/>
      <c r="F39" s="50"/>
      <c r="G39" s="50"/>
      <c r="H39" s="51">
        <f t="shared" si="2"/>
        <v>3</v>
      </c>
      <c r="I39" s="40"/>
    </row>
    <row r="40" spans="1:9" ht="12" customHeight="1">
      <c r="A40" s="46">
        <v>36</v>
      </c>
      <c r="B40" s="46"/>
      <c r="C40" s="47">
        <f t="shared" si="0"/>
        <v>315.09200962378651</v>
      </c>
      <c r="D40" s="47">
        <f t="shared" si="1"/>
        <v>1771.2966152581321</v>
      </c>
      <c r="E40" s="47">
        <f>C1-SUM(C5:C40)</f>
        <v>303335.75632034166</v>
      </c>
      <c r="F40" s="47">
        <f>SUM(C5:C40)</f>
        <v>10264.243679658322</v>
      </c>
      <c r="G40" s="47">
        <f>SUM(C29:C40)</f>
        <v>3662.7986216785721</v>
      </c>
      <c r="H40" s="48">
        <f t="shared" si="2"/>
        <v>3</v>
      </c>
      <c r="I40" s="40"/>
    </row>
    <row r="41" spans="1:9" ht="12" customHeight="1">
      <c r="A41" s="43">
        <v>37</v>
      </c>
      <c r="B41" s="43"/>
      <c r="C41" s="44">
        <f t="shared" si="0"/>
        <v>316.93004634659184</v>
      </c>
      <c r="D41" s="44">
        <f t="shared" si="1"/>
        <v>1769.4585785353268</v>
      </c>
      <c r="E41" s="44"/>
      <c r="F41" s="44"/>
      <c r="G41" s="44"/>
      <c r="H41" s="45">
        <f t="shared" si="2"/>
        <v>4</v>
      </c>
      <c r="I41" s="40"/>
    </row>
    <row r="42" spans="1:9" ht="12" customHeight="1">
      <c r="A42" s="43">
        <v>38</v>
      </c>
      <c r="B42" s="43"/>
      <c r="C42" s="44">
        <f t="shared" si="0"/>
        <v>318.7788049502804</v>
      </c>
      <c r="D42" s="44">
        <f t="shared" si="1"/>
        <v>1767.6098199316382</v>
      </c>
      <c r="E42" s="44"/>
      <c r="F42" s="44"/>
      <c r="G42" s="44"/>
      <c r="H42" s="45">
        <f t="shared" si="2"/>
        <v>4</v>
      </c>
      <c r="I42" s="40"/>
    </row>
    <row r="43" spans="1:9" ht="12" customHeight="1">
      <c r="A43" s="43">
        <v>39</v>
      </c>
      <c r="B43" s="43"/>
      <c r="C43" s="44">
        <f t="shared" si="0"/>
        <v>320.638347979157</v>
      </c>
      <c r="D43" s="44">
        <f t="shared" si="1"/>
        <v>1765.7502769027615</v>
      </c>
      <c r="E43" s="44"/>
      <c r="F43" s="44"/>
      <c r="G43" s="44"/>
      <c r="H43" s="45">
        <f t="shared" si="2"/>
        <v>4</v>
      </c>
      <c r="I43" s="40"/>
    </row>
    <row r="44" spans="1:9" ht="12" customHeight="1">
      <c r="A44" s="43">
        <v>40</v>
      </c>
      <c r="B44" s="43"/>
      <c r="C44" s="44">
        <f t="shared" si="0"/>
        <v>322.5087383423687</v>
      </c>
      <c r="D44" s="44">
        <f t="shared" si="1"/>
        <v>1763.8798865395499</v>
      </c>
      <c r="E44" s="44"/>
      <c r="F44" s="44"/>
      <c r="G44" s="44"/>
      <c r="H44" s="45">
        <f t="shared" si="2"/>
        <v>4</v>
      </c>
      <c r="I44" s="40"/>
    </row>
    <row r="45" spans="1:9" ht="12" customHeight="1">
      <c r="A45" s="43">
        <v>41</v>
      </c>
      <c r="B45" s="43"/>
      <c r="C45" s="44">
        <f t="shared" si="0"/>
        <v>324.39003931603253</v>
      </c>
      <c r="D45" s="44">
        <f t="shared" si="1"/>
        <v>1761.9985855658861</v>
      </c>
      <c r="E45" s="44"/>
      <c r="F45" s="44"/>
      <c r="G45" s="44"/>
      <c r="H45" s="45">
        <f t="shared" si="2"/>
        <v>4</v>
      </c>
      <c r="I45" s="40"/>
    </row>
    <row r="46" spans="1:9" ht="12" customHeight="1">
      <c r="A46" s="43">
        <v>42</v>
      </c>
      <c r="B46" s="43"/>
      <c r="C46" s="44">
        <f t="shared" si="0"/>
        <v>326.28231454537604</v>
      </c>
      <c r="D46" s="44">
        <f t="shared" si="1"/>
        <v>1760.1063103365425</v>
      </c>
      <c r="E46" s="44"/>
      <c r="F46" s="44"/>
      <c r="G46" s="44"/>
      <c r="H46" s="45">
        <f t="shared" si="2"/>
        <v>4</v>
      </c>
      <c r="I46" s="40"/>
    </row>
    <row r="47" spans="1:9" ht="12" customHeight="1">
      <c r="A47" s="43">
        <v>43</v>
      </c>
      <c r="B47" s="43"/>
      <c r="C47" s="44">
        <f t="shared" si="0"/>
        <v>328.18562804689077</v>
      </c>
      <c r="D47" s="44">
        <f t="shared" si="1"/>
        <v>1758.2029968350275</v>
      </c>
      <c r="E47" s="44"/>
      <c r="F47" s="44"/>
      <c r="G47" s="44"/>
      <c r="H47" s="45">
        <f t="shared" si="2"/>
        <v>4</v>
      </c>
      <c r="I47" s="40"/>
    </row>
    <row r="48" spans="1:9" ht="12" customHeight="1">
      <c r="A48" s="43">
        <v>44</v>
      </c>
      <c r="B48" s="43"/>
      <c r="C48" s="44">
        <f t="shared" si="0"/>
        <v>330.10004421049769</v>
      </c>
      <c r="D48" s="44">
        <f t="shared" si="1"/>
        <v>1756.288580671421</v>
      </c>
      <c r="E48" s="44"/>
      <c r="F48" s="44"/>
      <c r="G48" s="44"/>
      <c r="H48" s="45">
        <f t="shared" si="2"/>
        <v>4</v>
      </c>
      <c r="I48" s="40"/>
    </row>
    <row r="49" spans="1:10" ht="12" customHeight="1">
      <c r="A49" s="43">
        <v>45</v>
      </c>
      <c r="B49" s="43"/>
      <c r="C49" s="44">
        <f t="shared" si="0"/>
        <v>332.02562780172553</v>
      </c>
      <c r="D49" s="44">
        <f t="shared" si="1"/>
        <v>1754.3629970801931</v>
      </c>
      <c r="E49" s="44"/>
      <c r="F49" s="44"/>
      <c r="G49" s="44"/>
      <c r="H49" s="45">
        <f t="shared" si="2"/>
        <v>4</v>
      </c>
      <c r="I49" s="40"/>
    </row>
    <row r="50" spans="1:10" ht="12" customHeight="1">
      <c r="A50" s="43">
        <v>46</v>
      </c>
      <c r="B50" s="43"/>
      <c r="C50" s="44">
        <f t="shared" si="0"/>
        <v>333.96244396390227</v>
      </c>
      <c r="D50" s="44">
        <f t="shared" si="1"/>
        <v>1752.4261809180164</v>
      </c>
      <c r="E50" s="44"/>
      <c r="F50" s="44"/>
      <c r="G50" s="44"/>
      <c r="H50" s="45">
        <f t="shared" si="2"/>
        <v>4</v>
      </c>
      <c r="I50" s="40"/>
    </row>
    <row r="51" spans="1:10" ht="12" customHeight="1">
      <c r="A51" s="43">
        <v>47</v>
      </c>
      <c r="B51" s="43"/>
      <c r="C51" s="44">
        <f t="shared" si="0"/>
        <v>335.91055822035833</v>
      </c>
      <c r="D51" s="44">
        <f t="shared" si="1"/>
        <v>1750.4780666615604</v>
      </c>
      <c r="E51" s="44"/>
      <c r="F51" s="44"/>
      <c r="G51" s="44"/>
      <c r="H51" s="45">
        <f t="shared" si="2"/>
        <v>4</v>
      </c>
      <c r="I51" s="40"/>
    </row>
    <row r="52" spans="1:10" s="56" customFormat="1" ht="12" customHeight="1">
      <c r="A52" s="46">
        <v>48</v>
      </c>
      <c r="B52" s="46"/>
      <c r="C52" s="47">
        <f t="shared" si="0"/>
        <v>337.8700364766438</v>
      </c>
      <c r="D52" s="47">
        <f t="shared" si="1"/>
        <v>1748.5185884052748</v>
      </c>
      <c r="E52" s="47">
        <f>C1-SUM(C5:C52)</f>
        <v>299408.17369014188</v>
      </c>
      <c r="F52" s="47">
        <f>SUM(C5:C52)</f>
        <v>14191.826309858148</v>
      </c>
      <c r="G52" s="47">
        <f>SUM(C41:C52)</f>
        <v>3927.582630199825</v>
      </c>
      <c r="H52" s="48">
        <f t="shared" si="2"/>
        <v>4</v>
      </c>
      <c r="I52" s="55"/>
    </row>
    <row r="53" spans="1:10" ht="12" customHeight="1">
      <c r="A53" s="49">
        <v>49</v>
      </c>
      <c r="B53" s="49"/>
      <c r="C53" s="50">
        <f t="shared" si="0"/>
        <v>339.84094502275758</v>
      </c>
      <c r="D53" s="50">
        <f t="shared" si="1"/>
        <v>1746.547679859161</v>
      </c>
      <c r="E53" s="50"/>
      <c r="F53" s="50"/>
      <c r="G53" s="50"/>
      <c r="H53" s="51">
        <f t="shared" si="2"/>
        <v>5</v>
      </c>
      <c r="I53" s="40"/>
    </row>
    <row r="54" spans="1:10" ht="12" customHeight="1">
      <c r="A54" s="49">
        <v>50</v>
      </c>
      <c r="B54" s="49"/>
      <c r="C54" s="50">
        <f t="shared" si="0"/>
        <v>341.82335053539026</v>
      </c>
      <c r="D54" s="50">
        <f t="shared" si="1"/>
        <v>1744.5652743465282</v>
      </c>
      <c r="E54" s="50"/>
      <c r="F54" s="50"/>
      <c r="G54" s="50"/>
      <c r="H54" s="51">
        <f t="shared" si="2"/>
        <v>5</v>
      </c>
      <c r="I54" s="40"/>
    </row>
    <row r="55" spans="1:10" ht="12" customHeight="1">
      <c r="A55" s="49">
        <v>51</v>
      </c>
      <c r="B55" s="49"/>
      <c r="C55" s="50">
        <f t="shared" si="0"/>
        <v>343.81732008018008</v>
      </c>
      <c r="D55" s="50">
        <f t="shared" si="1"/>
        <v>1742.5713048017383</v>
      </c>
      <c r="E55" s="50"/>
      <c r="F55" s="50"/>
      <c r="G55" s="50"/>
      <c r="H55" s="51">
        <f t="shared" si="2"/>
        <v>5</v>
      </c>
      <c r="I55" s="40"/>
    </row>
    <row r="56" spans="1:10" ht="12" customHeight="1">
      <c r="A56" s="49">
        <v>52</v>
      </c>
      <c r="B56" s="49"/>
      <c r="C56" s="50">
        <f t="shared" si="0"/>
        <v>345.82292111398107</v>
      </c>
      <c r="D56" s="50">
        <f t="shared" si="1"/>
        <v>1740.5657037679375</v>
      </c>
      <c r="E56" s="50"/>
      <c r="F56" s="50"/>
      <c r="G56" s="50"/>
      <c r="H56" s="51">
        <f t="shared" si="2"/>
        <v>5</v>
      </c>
      <c r="I56" s="40"/>
    </row>
    <row r="57" spans="1:10" ht="12" customHeight="1">
      <c r="A57" s="49">
        <v>53</v>
      </c>
      <c r="B57" s="49"/>
      <c r="C57" s="50">
        <f t="shared" si="0"/>
        <v>347.84022148714598</v>
      </c>
      <c r="D57" s="50">
        <f t="shared" si="1"/>
        <v>1738.5484033947728</v>
      </c>
      <c r="E57" s="50"/>
      <c r="F57" s="50"/>
      <c r="G57" s="50"/>
      <c r="H57" s="51">
        <f t="shared" si="2"/>
        <v>5</v>
      </c>
      <c r="I57" s="40"/>
    </row>
    <row r="58" spans="1:10" ht="12" customHeight="1">
      <c r="A58" s="49">
        <v>54</v>
      </c>
      <c r="B58" s="49"/>
      <c r="C58" s="50">
        <f t="shared" si="0"/>
        <v>349.86928944582104</v>
      </c>
      <c r="D58" s="50">
        <f t="shared" si="1"/>
        <v>1736.5193354360977</v>
      </c>
      <c r="E58" s="50"/>
      <c r="F58" s="50"/>
      <c r="G58" s="50"/>
      <c r="H58" s="51">
        <f t="shared" si="2"/>
        <v>5</v>
      </c>
      <c r="I58" s="40"/>
    </row>
    <row r="59" spans="1:10" ht="12" customHeight="1">
      <c r="A59" s="49">
        <v>55</v>
      </c>
      <c r="B59" s="49"/>
      <c r="C59" s="50">
        <f t="shared" si="0"/>
        <v>351.91019363425499</v>
      </c>
      <c r="D59" s="50">
        <f t="shared" si="1"/>
        <v>1734.4784312476638</v>
      </c>
      <c r="E59" s="50"/>
      <c r="F59" s="50"/>
      <c r="G59" s="50"/>
      <c r="H59" s="51">
        <f t="shared" si="2"/>
        <v>5</v>
      </c>
      <c r="I59" s="40"/>
    </row>
    <row r="60" spans="1:10" ht="12" customHeight="1">
      <c r="A60" s="49">
        <v>56</v>
      </c>
      <c r="B60" s="49"/>
      <c r="C60" s="50">
        <f t="shared" si="0"/>
        <v>353.96300309712149</v>
      </c>
      <c r="D60" s="50">
        <f t="shared" si="1"/>
        <v>1732.4256217847972</v>
      </c>
      <c r="E60" s="50"/>
      <c r="F60" s="50"/>
      <c r="G60" s="50"/>
      <c r="H60" s="51">
        <f t="shared" si="2"/>
        <v>5</v>
      </c>
      <c r="I60" s="40"/>
    </row>
    <row r="61" spans="1:10" ht="12" customHeight="1">
      <c r="A61" s="49">
        <v>57</v>
      </c>
      <c r="B61" s="49"/>
      <c r="C61" s="50">
        <f t="shared" si="0"/>
        <v>356.02778728185473</v>
      </c>
      <c r="D61" s="50">
        <f t="shared" si="1"/>
        <v>1730.3608376000641</v>
      </c>
      <c r="E61" s="50"/>
      <c r="F61" s="50"/>
      <c r="G61" s="50"/>
      <c r="H61" s="51">
        <f t="shared" si="2"/>
        <v>5</v>
      </c>
      <c r="I61" s="40"/>
      <c r="J61" s="52"/>
    </row>
    <row r="62" spans="1:10" ht="12" customHeight="1">
      <c r="A62" s="49">
        <v>58</v>
      </c>
      <c r="B62" s="49"/>
      <c r="C62" s="50">
        <f t="shared" si="0"/>
        <v>358.10461604099879</v>
      </c>
      <c r="D62" s="50">
        <f t="shared" si="1"/>
        <v>1728.2840088409196</v>
      </c>
      <c r="E62" s="50"/>
      <c r="F62" s="50"/>
      <c r="G62" s="50"/>
      <c r="H62" s="51">
        <f t="shared" si="2"/>
        <v>5</v>
      </c>
      <c r="I62" s="40"/>
    </row>
    <row r="63" spans="1:10" ht="12" customHeight="1">
      <c r="A63" s="49">
        <v>59</v>
      </c>
      <c r="B63" s="49"/>
      <c r="C63" s="50">
        <f t="shared" si="0"/>
        <v>360.19355963457133</v>
      </c>
      <c r="D63" s="50">
        <f t="shared" si="1"/>
        <v>1726.195065247347</v>
      </c>
      <c r="E63" s="50"/>
      <c r="F63" s="50"/>
      <c r="G63" s="50"/>
      <c r="H63" s="51">
        <f t="shared" si="2"/>
        <v>5</v>
      </c>
      <c r="I63" s="40"/>
    </row>
    <row r="64" spans="1:10" ht="12" customHeight="1">
      <c r="A64" s="46">
        <v>60</v>
      </c>
      <c r="B64" s="46"/>
      <c r="C64" s="47">
        <f t="shared" si="0"/>
        <v>362.29468873243968</v>
      </c>
      <c r="D64" s="47">
        <f t="shared" si="1"/>
        <v>1724.0939361494791</v>
      </c>
      <c r="E64" s="47">
        <f>C1-SUM(C5:C64)</f>
        <v>295196.6657940353</v>
      </c>
      <c r="F64" s="47">
        <f>SUM(C5:C64)</f>
        <v>18403.334205964667</v>
      </c>
      <c r="G64" s="47">
        <f>SUM(C53:C64)</f>
        <v>4211.5078961065165</v>
      </c>
      <c r="H64" s="48">
        <f t="shared" si="2"/>
        <v>5</v>
      </c>
      <c r="I64" s="40"/>
    </row>
    <row r="65" spans="1:9" ht="12" customHeight="1">
      <c r="A65" s="43">
        <v>61</v>
      </c>
      <c r="B65" s="43"/>
      <c r="C65" s="44">
        <f t="shared" si="0"/>
        <v>364.40807441671222</v>
      </c>
      <c r="D65" s="44">
        <f t="shared" si="1"/>
        <v>1721.9805504652063</v>
      </c>
      <c r="E65" s="44"/>
      <c r="F65" s="44"/>
      <c r="G65" s="44"/>
      <c r="H65" s="45">
        <f t="shared" si="2"/>
        <v>6</v>
      </c>
      <c r="I65" s="40"/>
    </row>
    <row r="66" spans="1:9" ht="12" customHeight="1">
      <c r="A66" s="43">
        <v>62</v>
      </c>
      <c r="B66" s="43"/>
      <c r="C66" s="44">
        <f t="shared" si="0"/>
        <v>366.53378818414308</v>
      </c>
      <c r="D66" s="44">
        <f t="shared" si="1"/>
        <v>1719.8548366977755</v>
      </c>
      <c r="E66" s="44"/>
      <c r="F66" s="44"/>
      <c r="G66" s="44"/>
      <c r="H66" s="45">
        <f t="shared" si="2"/>
        <v>6</v>
      </c>
      <c r="I66" s="40"/>
    </row>
    <row r="67" spans="1:9" ht="12" customHeight="1">
      <c r="A67" s="43">
        <v>63</v>
      </c>
      <c r="B67" s="43"/>
      <c r="C67" s="44">
        <f t="shared" si="0"/>
        <v>368.6719019485505</v>
      </c>
      <c r="D67" s="44">
        <f t="shared" si="1"/>
        <v>1717.7167229333679</v>
      </c>
      <c r="E67" s="44"/>
      <c r="F67" s="44"/>
      <c r="G67" s="44"/>
      <c r="H67" s="45">
        <f t="shared" si="2"/>
        <v>6</v>
      </c>
      <c r="I67" s="40"/>
    </row>
    <row r="68" spans="1:9" ht="12" customHeight="1">
      <c r="A68" s="43">
        <v>64</v>
      </c>
      <c r="B68" s="43"/>
      <c r="C68" s="44">
        <f t="shared" si="0"/>
        <v>370.82248804325042</v>
      </c>
      <c r="D68" s="44">
        <f t="shared" si="1"/>
        <v>1715.5661368386684</v>
      </c>
      <c r="E68" s="44"/>
      <c r="F68" s="44"/>
      <c r="G68" s="44"/>
      <c r="H68" s="45">
        <f t="shared" si="2"/>
        <v>6</v>
      </c>
      <c r="I68" s="40"/>
    </row>
    <row r="69" spans="1:9" ht="12" customHeight="1">
      <c r="A69" s="43">
        <v>65</v>
      </c>
      <c r="B69" s="43"/>
      <c r="C69" s="44">
        <f t="shared" ref="C69:C132" si="3">PPMT(C$2/12,A69,C$3,C$1*-1)</f>
        <v>372.98561922350268</v>
      </c>
      <c r="D69" s="44">
        <f t="shared" ref="D69:D132" si="4">IPMT(C$2/12,A69,C$3,C$1*-1)</f>
        <v>1713.4030056584159</v>
      </c>
      <c r="E69" s="44"/>
      <c r="F69" s="44"/>
      <c r="G69" s="44"/>
      <c r="H69" s="45">
        <f t="shared" ref="H69:H132" si="5">ROUNDUP(A69/12,0)</f>
        <v>6</v>
      </c>
      <c r="I69" s="40"/>
    </row>
    <row r="70" spans="1:9" ht="12" customHeight="1">
      <c r="A70" s="43">
        <v>66</v>
      </c>
      <c r="B70" s="43"/>
      <c r="C70" s="44">
        <f t="shared" si="3"/>
        <v>375.16136866897318</v>
      </c>
      <c r="D70" s="44">
        <f t="shared" si="4"/>
        <v>1711.2272562129453</v>
      </c>
      <c r="E70" s="44"/>
      <c r="F70" s="44"/>
      <c r="G70" s="44"/>
      <c r="H70" s="45">
        <f t="shared" si="5"/>
        <v>6</v>
      </c>
      <c r="I70" s="40"/>
    </row>
    <row r="71" spans="1:9" ht="12" customHeight="1">
      <c r="A71" s="43">
        <v>67</v>
      </c>
      <c r="B71" s="43"/>
      <c r="C71" s="44">
        <f t="shared" si="3"/>
        <v>377.34980998620887</v>
      </c>
      <c r="D71" s="44">
        <f t="shared" si="4"/>
        <v>1709.0388148957099</v>
      </c>
      <c r="E71" s="44"/>
      <c r="F71" s="44"/>
      <c r="G71" s="44"/>
      <c r="H71" s="45">
        <f t="shared" si="5"/>
        <v>6</v>
      </c>
      <c r="I71" s="40"/>
    </row>
    <row r="72" spans="1:9" ht="12" customHeight="1">
      <c r="A72" s="43">
        <v>68</v>
      </c>
      <c r="B72" s="43"/>
      <c r="C72" s="44">
        <f t="shared" si="3"/>
        <v>379.55101721112834</v>
      </c>
      <c r="D72" s="44">
        <f t="shared" si="4"/>
        <v>1706.83760767079</v>
      </c>
      <c r="E72" s="44"/>
      <c r="F72" s="44"/>
      <c r="G72" s="44"/>
      <c r="H72" s="45">
        <f t="shared" si="5"/>
        <v>6</v>
      </c>
      <c r="I72" s="40"/>
    </row>
    <row r="73" spans="1:9" ht="12" customHeight="1">
      <c r="A73" s="43">
        <v>69</v>
      </c>
      <c r="B73" s="43"/>
      <c r="C73" s="44">
        <f t="shared" si="3"/>
        <v>381.76506481152666</v>
      </c>
      <c r="D73" s="44">
        <f t="shared" si="4"/>
        <v>1704.6235600703919</v>
      </c>
      <c r="E73" s="44"/>
      <c r="F73" s="44"/>
      <c r="G73" s="44"/>
      <c r="H73" s="45">
        <f t="shared" si="5"/>
        <v>6</v>
      </c>
      <c r="I73" s="40"/>
    </row>
    <row r="74" spans="1:9" ht="12" customHeight="1">
      <c r="A74" s="43">
        <v>70</v>
      </c>
      <c r="B74" s="43"/>
      <c r="C74" s="44">
        <f t="shared" si="3"/>
        <v>383.9920276895939</v>
      </c>
      <c r="D74" s="44">
        <f t="shared" si="4"/>
        <v>1702.3965971923249</v>
      </c>
      <c r="E74" s="44"/>
      <c r="F74" s="44"/>
      <c r="G74" s="44"/>
      <c r="H74" s="45">
        <f t="shared" si="5"/>
        <v>6</v>
      </c>
      <c r="I74" s="40"/>
    </row>
    <row r="75" spans="1:9" ht="12" customHeight="1">
      <c r="A75" s="43">
        <v>71</v>
      </c>
      <c r="B75" s="43"/>
      <c r="C75" s="44">
        <f t="shared" si="3"/>
        <v>386.23198118444981</v>
      </c>
      <c r="D75" s="44">
        <f t="shared" si="4"/>
        <v>1700.1566436974686</v>
      </c>
      <c r="E75" s="44"/>
      <c r="F75" s="44"/>
      <c r="G75" s="44"/>
      <c r="H75" s="45">
        <f t="shared" si="5"/>
        <v>6</v>
      </c>
      <c r="I75" s="40"/>
    </row>
    <row r="76" spans="1:9" s="56" customFormat="1" ht="12" customHeight="1">
      <c r="A76" s="46">
        <v>72</v>
      </c>
      <c r="B76" s="46"/>
      <c r="C76" s="47">
        <f t="shared" si="3"/>
        <v>388.48500107469243</v>
      </c>
      <c r="D76" s="47">
        <f t="shared" si="4"/>
        <v>1697.903623807226</v>
      </c>
      <c r="E76" s="47">
        <f>C1-SUM(C4:C76)</f>
        <v>290680.70765159262</v>
      </c>
      <c r="F76" s="47">
        <f>SUM(C5:C76)</f>
        <v>22919.292348407398</v>
      </c>
      <c r="G76" s="47">
        <f>SUM(C65:C76)</f>
        <v>4515.9581424427324</v>
      </c>
      <c r="H76" s="48">
        <f t="shared" si="5"/>
        <v>6</v>
      </c>
      <c r="I76" s="55"/>
    </row>
    <row r="77" spans="1:9" ht="12" customHeight="1">
      <c r="A77" s="49">
        <v>73</v>
      </c>
      <c r="B77" s="49"/>
      <c r="C77" s="50">
        <f t="shared" si="3"/>
        <v>390.75116358096147</v>
      </c>
      <c r="D77" s="50">
        <f t="shared" si="4"/>
        <v>1695.6374613009571</v>
      </c>
      <c r="E77" s="50"/>
      <c r="F77" s="50"/>
      <c r="G77" s="50"/>
      <c r="H77" s="51">
        <f t="shared" si="5"/>
        <v>7</v>
      </c>
      <c r="I77" s="40"/>
    </row>
    <row r="78" spans="1:9" ht="12" customHeight="1">
      <c r="A78" s="49">
        <v>74</v>
      </c>
      <c r="B78" s="49"/>
      <c r="C78" s="50">
        <f t="shared" si="3"/>
        <v>393.0305453685171</v>
      </c>
      <c r="D78" s="50">
        <f t="shared" si="4"/>
        <v>1693.3580795134012</v>
      </c>
      <c r="E78" s="50"/>
      <c r="F78" s="50"/>
      <c r="G78" s="50"/>
      <c r="H78" s="51">
        <f t="shared" si="5"/>
        <v>7</v>
      </c>
      <c r="I78" s="40"/>
    </row>
    <row r="79" spans="1:9" ht="12" customHeight="1">
      <c r="A79" s="49">
        <v>75</v>
      </c>
      <c r="B79" s="49"/>
      <c r="C79" s="50">
        <f t="shared" si="3"/>
        <v>395.32322354983353</v>
      </c>
      <c r="D79" s="50">
        <f t="shared" si="4"/>
        <v>1691.065401332085</v>
      </c>
      <c r="E79" s="50"/>
      <c r="F79" s="50"/>
      <c r="G79" s="50"/>
      <c r="H79" s="51">
        <f t="shared" si="5"/>
        <v>7</v>
      </c>
      <c r="I79" s="40"/>
    </row>
    <row r="80" spans="1:9" ht="12" customHeight="1">
      <c r="A80" s="49">
        <v>76</v>
      </c>
      <c r="B80" s="49"/>
      <c r="C80" s="50">
        <f t="shared" si="3"/>
        <v>397.6292756872075</v>
      </c>
      <c r="D80" s="50">
        <f t="shared" si="4"/>
        <v>1688.7593491947111</v>
      </c>
      <c r="E80" s="50"/>
      <c r="F80" s="50"/>
      <c r="G80" s="50"/>
      <c r="H80" s="51">
        <f t="shared" si="5"/>
        <v>7</v>
      </c>
      <c r="I80" s="40"/>
    </row>
    <row r="81" spans="1:9" ht="12" customHeight="1">
      <c r="A81" s="49">
        <v>77</v>
      </c>
      <c r="B81" s="49"/>
      <c r="C81" s="50">
        <f t="shared" si="3"/>
        <v>399.94877979538285</v>
      </c>
      <c r="D81" s="50">
        <f t="shared" si="4"/>
        <v>1686.4398450865358</v>
      </c>
      <c r="E81" s="50"/>
      <c r="F81" s="50"/>
      <c r="G81" s="50"/>
      <c r="H81" s="51">
        <f t="shared" si="5"/>
        <v>7</v>
      </c>
      <c r="I81" s="40"/>
    </row>
    <row r="82" spans="1:9" ht="12" customHeight="1">
      <c r="A82" s="49">
        <v>78</v>
      </c>
      <c r="B82" s="49"/>
      <c r="C82" s="50">
        <f t="shared" si="3"/>
        <v>402.28181434418923</v>
      </c>
      <c r="D82" s="50">
        <f t="shared" si="4"/>
        <v>1684.1068105377294</v>
      </c>
      <c r="E82" s="50"/>
      <c r="F82" s="50"/>
      <c r="G82" s="50"/>
      <c r="H82" s="51">
        <f t="shared" si="5"/>
        <v>7</v>
      </c>
      <c r="I82" s="40"/>
    </row>
    <row r="83" spans="1:9" ht="12" customHeight="1">
      <c r="A83" s="49">
        <v>79</v>
      </c>
      <c r="B83" s="49"/>
      <c r="C83" s="50">
        <f t="shared" si="3"/>
        <v>404.62845826119701</v>
      </c>
      <c r="D83" s="50">
        <f t="shared" si="4"/>
        <v>1681.7601666207213</v>
      </c>
      <c r="E83" s="50"/>
      <c r="F83" s="50"/>
      <c r="G83" s="50"/>
      <c r="H83" s="51">
        <f t="shared" si="5"/>
        <v>7</v>
      </c>
      <c r="I83" s="40"/>
    </row>
    <row r="84" spans="1:9" ht="12" customHeight="1">
      <c r="A84" s="49">
        <v>80</v>
      </c>
      <c r="B84" s="49"/>
      <c r="C84" s="50">
        <f t="shared" si="3"/>
        <v>406.98879093438734</v>
      </c>
      <c r="D84" s="50">
        <f t="shared" si="4"/>
        <v>1679.3998339475311</v>
      </c>
      <c r="E84" s="50"/>
      <c r="F84" s="50"/>
      <c r="G84" s="50"/>
      <c r="H84" s="51">
        <f t="shared" si="5"/>
        <v>7</v>
      </c>
      <c r="I84" s="40"/>
    </row>
    <row r="85" spans="1:9" ht="12" customHeight="1">
      <c r="A85" s="49">
        <v>81</v>
      </c>
      <c r="B85" s="49"/>
      <c r="C85" s="50">
        <f t="shared" si="3"/>
        <v>409.36289221483793</v>
      </c>
      <c r="D85" s="50">
        <f t="shared" si="4"/>
        <v>1677.0257326670808</v>
      </c>
      <c r="E85" s="50"/>
      <c r="F85" s="50"/>
      <c r="G85" s="50"/>
      <c r="H85" s="51">
        <f t="shared" si="5"/>
        <v>7</v>
      </c>
      <c r="I85" s="40"/>
    </row>
    <row r="86" spans="1:9" ht="12" customHeight="1">
      <c r="A86" s="49">
        <v>82</v>
      </c>
      <c r="B86" s="49"/>
      <c r="C86" s="50">
        <f t="shared" si="3"/>
        <v>411.75084241942443</v>
      </c>
      <c r="D86" s="50">
        <f t="shared" si="4"/>
        <v>1674.6377824624942</v>
      </c>
      <c r="E86" s="50"/>
      <c r="F86" s="50"/>
      <c r="G86" s="50"/>
      <c r="H86" s="51">
        <f t="shared" si="5"/>
        <v>7</v>
      </c>
      <c r="I86" s="40"/>
    </row>
    <row r="87" spans="1:9" ht="12" customHeight="1">
      <c r="A87" s="49">
        <v>83</v>
      </c>
      <c r="B87" s="49"/>
      <c r="C87" s="50">
        <f t="shared" si="3"/>
        <v>414.15272233353784</v>
      </c>
      <c r="D87" s="50">
        <f t="shared" si="4"/>
        <v>1672.2359025483806</v>
      </c>
      <c r="E87" s="50"/>
      <c r="F87" s="50"/>
      <c r="G87" s="50"/>
      <c r="H87" s="51">
        <f t="shared" si="5"/>
        <v>7</v>
      </c>
      <c r="I87" s="40"/>
    </row>
    <row r="88" spans="1:9" s="56" customFormat="1" ht="12" customHeight="1">
      <c r="A88" s="46">
        <v>84</v>
      </c>
      <c r="B88" s="46"/>
      <c r="C88" s="47">
        <f t="shared" si="3"/>
        <v>416.56861321381677</v>
      </c>
      <c r="D88" s="47">
        <f t="shared" si="4"/>
        <v>1669.8200116681016</v>
      </c>
      <c r="E88" s="47">
        <f>C1-SUM(C4:C88)</f>
        <v>285838.29052988929</v>
      </c>
      <c r="F88" s="47">
        <f>SUM(C5:C88)</f>
        <v>27761.709470110691</v>
      </c>
      <c r="G88" s="47">
        <f>SUM(C77:C88)</f>
        <v>4842.4171217032927</v>
      </c>
      <c r="H88" s="48">
        <f t="shared" si="5"/>
        <v>7</v>
      </c>
      <c r="I88" s="55"/>
    </row>
    <row r="89" spans="1:9" ht="12" customHeight="1">
      <c r="A89" s="43">
        <v>85</v>
      </c>
      <c r="B89" s="43"/>
      <c r="C89" s="44">
        <f t="shared" si="3"/>
        <v>418.99859679089741</v>
      </c>
      <c r="D89" s="44">
        <f t="shared" si="4"/>
        <v>1667.3900280910213</v>
      </c>
      <c r="E89" s="44"/>
      <c r="F89" s="44"/>
      <c r="G89" s="44"/>
      <c r="H89" s="45">
        <f t="shared" si="5"/>
        <v>8</v>
      </c>
      <c r="I89" s="40"/>
    </row>
    <row r="90" spans="1:9" ht="12" customHeight="1">
      <c r="A90" s="43">
        <v>86</v>
      </c>
      <c r="B90" s="43"/>
      <c r="C90" s="44">
        <f t="shared" si="3"/>
        <v>421.44275527217758</v>
      </c>
      <c r="D90" s="44">
        <f t="shared" si="4"/>
        <v>1664.9458696097408</v>
      </c>
      <c r="E90" s="44"/>
      <c r="F90" s="44"/>
      <c r="G90" s="44"/>
      <c r="H90" s="45">
        <f t="shared" si="5"/>
        <v>8</v>
      </c>
      <c r="I90" s="40"/>
    </row>
    <row r="91" spans="1:9" ht="12" customHeight="1">
      <c r="A91" s="43">
        <v>87</v>
      </c>
      <c r="B91" s="43"/>
      <c r="C91" s="44">
        <f t="shared" si="3"/>
        <v>423.90117134459865</v>
      </c>
      <c r="D91" s="44">
        <f t="shared" si="4"/>
        <v>1662.4874535373199</v>
      </c>
      <c r="E91" s="44"/>
      <c r="F91" s="44"/>
      <c r="G91" s="44"/>
      <c r="H91" s="45">
        <f t="shared" si="5"/>
        <v>8</v>
      </c>
      <c r="I91" s="40"/>
    </row>
    <row r="92" spans="1:9" ht="12" customHeight="1">
      <c r="A92" s="43">
        <v>88</v>
      </c>
      <c r="B92" s="43"/>
      <c r="C92" s="44">
        <f t="shared" si="3"/>
        <v>426.37392817744222</v>
      </c>
      <c r="D92" s="44">
        <f t="shared" si="4"/>
        <v>1660.0146967044766</v>
      </c>
      <c r="E92" s="44"/>
      <c r="F92" s="44"/>
      <c r="G92" s="44"/>
      <c r="H92" s="45">
        <f t="shared" si="5"/>
        <v>8</v>
      </c>
      <c r="I92" s="40"/>
    </row>
    <row r="93" spans="1:9" ht="12" customHeight="1">
      <c r="A93" s="43">
        <v>89</v>
      </c>
      <c r="B93" s="43"/>
      <c r="C93" s="44">
        <f t="shared" si="3"/>
        <v>428.86110942514381</v>
      </c>
      <c r="D93" s="44">
        <f t="shared" si="4"/>
        <v>1657.5275154567748</v>
      </c>
      <c r="E93" s="44"/>
      <c r="F93" s="44"/>
      <c r="G93" s="44"/>
      <c r="H93" s="45">
        <f t="shared" si="5"/>
        <v>8</v>
      </c>
      <c r="I93" s="40"/>
    </row>
    <row r="94" spans="1:9" ht="12" customHeight="1">
      <c r="A94" s="43">
        <v>90</v>
      </c>
      <c r="B94" s="43"/>
      <c r="C94" s="44">
        <f t="shared" si="3"/>
        <v>431.36279923012387</v>
      </c>
      <c r="D94" s="44">
        <f t="shared" si="4"/>
        <v>1655.0258256517948</v>
      </c>
      <c r="E94" s="44"/>
      <c r="F94" s="44"/>
      <c r="G94" s="44"/>
      <c r="H94" s="45">
        <f t="shared" si="5"/>
        <v>8</v>
      </c>
      <c r="I94" s="40"/>
    </row>
    <row r="95" spans="1:9" ht="12" customHeight="1">
      <c r="A95" s="43">
        <v>91</v>
      </c>
      <c r="B95" s="43"/>
      <c r="C95" s="44">
        <f t="shared" si="3"/>
        <v>433.87908222563294</v>
      </c>
      <c r="D95" s="44">
        <f t="shared" si="4"/>
        <v>1652.5095426562855</v>
      </c>
      <c r="E95" s="44"/>
      <c r="F95" s="44"/>
      <c r="G95" s="44"/>
      <c r="H95" s="45">
        <f t="shared" si="5"/>
        <v>8</v>
      </c>
      <c r="I95" s="40"/>
    </row>
    <row r="96" spans="1:9" ht="12" customHeight="1">
      <c r="A96" s="43">
        <v>92</v>
      </c>
      <c r="B96" s="43"/>
      <c r="C96" s="44">
        <f t="shared" si="3"/>
        <v>436.41004353861581</v>
      </c>
      <c r="D96" s="44">
        <f t="shared" si="4"/>
        <v>1649.9785813433027</v>
      </c>
      <c r="E96" s="44"/>
      <c r="F96" s="44"/>
      <c r="G96" s="44"/>
      <c r="H96" s="45">
        <f t="shared" si="5"/>
        <v>8</v>
      </c>
      <c r="I96" s="40"/>
    </row>
    <row r="97" spans="1:9" ht="12" customHeight="1">
      <c r="A97" s="43">
        <v>93</v>
      </c>
      <c r="B97" s="43"/>
      <c r="C97" s="44">
        <f t="shared" si="3"/>
        <v>438.95576879259113</v>
      </c>
      <c r="D97" s="44">
        <f t="shared" si="4"/>
        <v>1647.4328560893275</v>
      </c>
      <c r="E97" s="44"/>
      <c r="F97" s="44"/>
      <c r="G97" s="44"/>
      <c r="H97" s="45">
        <f t="shared" si="5"/>
        <v>8</v>
      </c>
      <c r="I97" s="40"/>
    </row>
    <row r="98" spans="1:9" ht="12" customHeight="1">
      <c r="A98" s="43">
        <v>94</v>
      </c>
      <c r="B98" s="43"/>
      <c r="C98" s="44">
        <f t="shared" si="3"/>
        <v>441.51634411054783</v>
      </c>
      <c r="D98" s="44">
        <f t="shared" si="4"/>
        <v>1644.8722807713707</v>
      </c>
      <c r="E98" s="44"/>
      <c r="F98" s="44"/>
      <c r="G98" s="44"/>
      <c r="H98" s="45">
        <f t="shared" si="5"/>
        <v>8</v>
      </c>
      <c r="I98" s="40"/>
    </row>
    <row r="99" spans="1:9" ht="12" customHeight="1">
      <c r="A99" s="43">
        <v>95</v>
      </c>
      <c r="B99" s="43"/>
      <c r="C99" s="44">
        <f t="shared" si="3"/>
        <v>444.09185611785944</v>
      </c>
      <c r="D99" s="44">
        <f t="shared" si="4"/>
        <v>1642.2967687640594</v>
      </c>
      <c r="E99" s="44"/>
      <c r="F99" s="44"/>
      <c r="G99" s="44"/>
      <c r="H99" s="45">
        <f t="shared" si="5"/>
        <v>8</v>
      </c>
      <c r="I99" s="40"/>
    </row>
    <row r="100" spans="1:9" s="56" customFormat="1" ht="12" customHeight="1">
      <c r="A100" s="46">
        <v>96</v>
      </c>
      <c r="B100" s="46"/>
      <c r="C100" s="47">
        <f t="shared" si="3"/>
        <v>446.68239194521351</v>
      </c>
      <c r="D100" s="47">
        <f t="shared" si="4"/>
        <v>1639.7062329367054</v>
      </c>
      <c r="E100" s="47">
        <f>C1-SUM(C4:C100)</f>
        <v>280645.81468291848</v>
      </c>
      <c r="F100" s="47">
        <f>SUM(C5:C100)</f>
        <v>32954.185317081538</v>
      </c>
      <c r="G100" s="47">
        <f>SUM(C89:C100)</f>
        <v>5192.4758469708449</v>
      </c>
      <c r="H100" s="48">
        <f t="shared" si="5"/>
        <v>8</v>
      </c>
      <c r="I100" s="55"/>
    </row>
    <row r="101" spans="1:9" ht="12" customHeight="1">
      <c r="A101" s="49">
        <v>97</v>
      </c>
      <c r="B101" s="49"/>
      <c r="C101" s="50">
        <f t="shared" si="3"/>
        <v>449.28803923156067</v>
      </c>
      <c r="D101" s="50">
        <f t="shared" si="4"/>
        <v>1637.100585650358</v>
      </c>
      <c r="E101" s="50"/>
      <c r="F101" s="50"/>
      <c r="G101" s="50"/>
      <c r="H101" s="51">
        <f t="shared" si="5"/>
        <v>9</v>
      </c>
      <c r="I101" s="40"/>
    </row>
    <row r="102" spans="1:9" ht="12" customHeight="1">
      <c r="A102" s="49">
        <v>98</v>
      </c>
      <c r="B102" s="49"/>
      <c r="C102" s="50">
        <f t="shared" si="3"/>
        <v>451.90888612707806</v>
      </c>
      <c r="D102" s="50">
        <f t="shared" si="4"/>
        <v>1634.4797387548406</v>
      </c>
      <c r="E102" s="50"/>
      <c r="F102" s="50"/>
      <c r="G102" s="50"/>
      <c r="H102" s="51">
        <f t="shared" si="5"/>
        <v>9</v>
      </c>
      <c r="I102" s="40"/>
    </row>
    <row r="103" spans="1:9" ht="12" customHeight="1">
      <c r="A103" s="49">
        <v>99</v>
      </c>
      <c r="B103" s="49"/>
      <c r="C103" s="50">
        <f t="shared" si="3"/>
        <v>454.54502129615264</v>
      </c>
      <c r="D103" s="50">
        <f t="shared" si="4"/>
        <v>1631.843603585766</v>
      </c>
      <c r="E103" s="50"/>
      <c r="F103" s="50"/>
      <c r="G103" s="50"/>
      <c r="H103" s="51">
        <f t="shared" si="5"/>
        <v>9</v>
      </c>
      <c r="I103" s="40"/>
    </row>
    <row r="104" spans="1:9" ht="12" customHeight="1">
      <c r="A104" s="49">
        <v>100</v>
      </c>
      <c r="B104" s="49"/>
      <c r="C104" s="50">
        <f t="shared" si="3"/>
        <v>457.19653392038026</v>
      </c>
      <c r="D104" s="50">
        <f t="shared" si="4"/>
        <v>1629.1920909615383</v>
      </c>
      <c r="E104" s="50"/>
      <c r="F104" s="50"/>
      <c r="G104" s="50"/>
      <c r="H104" s="51">
        <f t="shared" si="5"/>
        <v>9</v>
      </c>
      <c r="I104" s="40"/>
    </row>
    <row r="105" spans="1:9" ht="12" customHeight="1">
      <c r="A105" s="49">
        <v>101</v>
      </c>
      <c r="B105" s="49"/>
      <c r="C105" s="50">
        <f t="shared" si="3"/>
        <v>459.86351370158252</v>
      </c>
      <c r="D105" s="50">
        <f t="shared" si="4"/>
        <v>1626.5251111803361</v>
      </c>
      <c r="E105" s="50"/>
      <c r="F105" s="50"/>
      <c r="G105" s="50"/>
      <c r="H105" s="51">
        <f t="shared" si="5"/>
        <v>9</v>
      </c>
      <c r="I105" s="40"/>
    </row>
    <row r="106" spans="1:9" ht="12" customHeight="1">
      <c r="A106" s="49">
        <v>102</v>
      </c>
      <c r="B106" s="49"/>
      <c r="C106" s="50">
        <f t="shared" si="3"/>
        <v>462.54605086484167</v>
      </c>
      <c r="D106" s="50">
        <f t="shared" si="4"/>
        <v>1623.8425740170769</v>
      </c>
      <c r="E106" s="50"/>
      <c r="F106" s="50"/>
      <c r="G106" s="50"/>
      <c r="H106" s="51">
        <f t="shared" si="5"/>
        <v>9</v>
      </c>
      <c r="I106" s="40"/>
    </row>
    <row r="107" spans="1:9" ht="12" customHeight="1">
      <c r="A107" s="49">
        <v>103</v>
      </c>
      <c r="B107" s="49"/>
      <c r="C107" s="50">
        <f t="shared" si="3"/>
        <v>465.24423616155332</v>
      </c>
      <c r="D107" s="50">
        <f t="shared" si="4"/>
        <v>1621.1443887203652</v>
      </c>
      <c r="E107" s="50"/>
      <c r="F107" s="50"/>
      <c r="G107" s="50"/>
      <c r="H107" s="51">
        <f t="shared" si="5"/>
        <v>9</v>
      </c>
      <c r="I107" s="40"/>
    </row>
    <row r="108" spans="1:9" ht="12" customHeight="1">
      <c r="A108" s="49">
        <v>104</v>
      </c>
      <c r="B108" s="49"/>
      <c r="C108" s="50">
        <f t="shared" si="3"/>
        <v>467.95816087249563</v>
      </c>
      <c r="D108" s="50">
        <f t="shared" si="4"/>
        <v>1618.4304640094228</v>
      </c>
      <c r="E108" s="50"/>
      <c r="F108" s="50"/>
      <c r="G108" s="50"/>
      <c r="H108" s="51">
        <f t="shared" si="5"/>
        <v>9</v>
      </c>
      <c r="I108" s="40"/>
    </row>
    <row r="109" spans="1:9" ht="12" customHeight="1">
      <c r="A109" s="49">
        <v>105</v>
      </c>
      <c r="B109" s="49"/>
      <c r="C109" s="50">
        <f t="shared" si="3"/>
        <v>470.68791681091852</v>
      </c>
      <c r="D109" s="50">
        <f t="shared" si="4"/>
        <v>1615.700708071</v>
      </c>
      <c r="E109" s="50"/>
      <c r="F109" s="50"/>
      <c r="G109" s="50"/>
      <c r="H109" s="51">
        <f t="shared" si="5"/>
        <v>9</v>
      </c>
      <c r="I109" s="40"/>
    </row>
    <row r="110" spans="1:9" ht="12" customHeight="1">
      <c r="A110" s="49">
        <v>106</v>
      </c>
      <c r="B110" s="49"/>
      <c r="C110" s="50">
        <f t="shared" si="3"/>
        <v>473.43359632564898</v>
      </c>
      <c r="D110" s="50">
        <f t="shared" si="4"/>
        <v>1612.9550285562696</v>
      </c>
      <c r="E110" s="50"/>
      <c r="F110" s="50"/>
      <c r="G110" s="50"/>
      <c r="H110" s="51">
        <f t="shared" si="5"/>
        <v>9</v>
      </c>
      <c r="I110" s="40"/>
    </row>
    <row r="111" spans="1:9" ht="12" customHeight="1">
      <c r="A111" s="49">
        <v>107</v>
      </c>
      <c r="B111" s="49"/>
      <c r="C111" s="50">
        <f t="shared" si="3"/>
        <v>476.19529230421523</v>
      </c>
      <c r="D111" s="50">
        <f t="shared" si="4"/>
        <v>1610.1933325777034</v>
      </c>
      <c r="E111" s="50"/>
      <c r="F111" s="50"/>
      <c r="G111" s="50"/>
      <c r="H111" s="51">
        <f t="shared" si="5"/>
        <v>9</v>
      </c>
      <c r="I111" s="40"/>
    </row>
    <row r="112" spans="1:9" s="56" customFormat="1" ht="12" customHeight="1">
      <c r="A112" s="46">
        <v>108</v>
      </c>
      <c r="B112" s="46"/>
      <c r="C112" s="47">
        <f t="shared" si="3"/>
        <v>478.97309817598978</v>
      </c>
      <c r="D112" s="47">
        <f t="shared" si="4"/>
        <v>1607.4155267059289</v>
      </c>
      <c r="E112" s="47">
        <f>C1-SUM(C4:C112)</f>
        <v>275077.97433712601</v>
      </c>
      <c r="F112" s="47">
        <f>SUM(C5:C112)</f>
        <v>38522.025662873959</v>
      </c>
      <c r="G112" s="47">
        <f>SUM(C101:C112)</f>
        <v>5567.8403457924178</v>
      </c>
      <c r="H112" s="48">
        <f t="shared" si="5"/>
        <v>9</v>
      </c>
      <c r="I112" s="55"/>
    </row>
    <row r="113" spans="1:9" ht="12" customHeight="1">
      <c r="A113" s="43">
        <v>109</v>
      </c>
      <c r="B113" s="43"/>
      <c r="C113" s="44">
        <f t="shared" si="3"/>
        <v>481.76710791534964</v>
      </c>
      <c r="D113" s="44">
        <f t="shared" si="4"/>
        <v>1604.6215169665688</v>
      </c>
      <c r="E113" s="44"/>
      <c r="F113" s="44"/>
      <c r="G113" s="44"/>
      <c r="H113" s="45">
        <f t="shared" si="5"/>
        <v>10</v>
      </c>
      <c r="I113" s="40"/>
    </row>
    <row r="114" spans="1:9" ht="12" customHeight="1">
      <c r="A114" s="43">
        <v>110</v>
      </c>
      <c r="B114" s="43"/>
      <c r="C114" s="44">
        <f t="shared" si="3"/>
        <v>484.57741604485597</v>
      </c>
      <c r="D114" s="44">
        <f t="shared" si="4"/>
        <v>1601.8112088370628</v>
      </c>
      <c r="E114" s="44"/>
      <c r="F114" s="44"/>
      <c r="G114" s="44"/>
      <c r="H114" s="45">
        <f t="shared" si="5"/>
        <v>10</v>
      </c>
      <c r="I114" s="40"/>
    </row>
    <row r="115" spans="1:9" ht="12" customHeight="1">
      <c r="A115" s="43">
        <v>111</v>
      </c>
      <c r="B115" s="43"/>
      <c r="C115" s="44">
        <f t="shared" si="3"/>
        <v>487.40411763845094</v>
      </c>
      <c r="D115" s="44">
        <f t="shared" si="4"/>
        <v>1598.9845072434675</v>
      </c>
      <c r="E115" s="44"/>
      <c r="F115" s="44"/>
      <c r="G115" s="44"/>
      <c r="H115" s="45">
        <f t="shared" si="5"/>
        <v>10</v>
      </c>
      <c r="I115" s="40"/>
    </row>
    <row r="116" spans="1:9" ht="12" customHeight="1">
      <c r="A116" s="43">
        <v>112</v>
      </c>
      <c r="B116" s="43"/>
      <c r="C116" s="44">
        <f t="shared" si="3"/>
        <v>490.2473083246752</v>
      </c>
      <c r="D116" s="44">
        <f t="shared" si="4"/>
        <v>1596.1413165572433</v>
      </c>
      <c r="E116" s="44"/>
      <c r="F116" s="44"/>
      <c r="G116" s="44"/>
      <c r="H116" s="45">
        <f t="shared" si="5"/>
        <v>10</v>
      </c>
      <c r="I116" s="40"/>
    </row>
    <row r="117" spans="1:9" ht="12" customHeight="1">
      <c r="A117" s="43">
        <v>113</v>
      </c>
      <c r="B117" s="43"/>
      <c r="C117" s="44">
        <f t="shared" si="3"/>
        <v>493.10708428990245</v>
      </c>
      <c r="D117" s="44">
        <f t="shared" si="4"/>
        <v>1593.2815405920162</v>
      </c>
      <c r="E117" s="44"/>
      <c r="F117" s="44"/>
      <c r="G117" s="44"/>
      <c r="H117" s="45">
        <f t="shared" si="5"/>
        <v>10</v>
      </c>
      <c r="I117" s="40"/>
    </row>
    <row r="118" spans="1:9" ht="12" customHeight="1">
      <c r="A118" s="43">
        <v>114</v>
      </c>
      <c r="B118" s="43"/>
      <c r="C118" s="44">
        <f t="shared" si="3"/>
        <v>495.98354228159366</v>
      </c>
      <c r="D118" s="44">
        <f t="shared" si="4"/>
        <v>1590.4050826003249</v>
      </c>
      <c r="E118" s="44"/>
      <c r="F118" s="44"/>
      <c r="G118" s="44"/>
      <c r="H118" s="45">
        <f t="shared" si="5"/>
        <v>10</v>
      </c>
      <c r="I118" s="40"/>
    </row>
    <row r="119" spans="1:9" ht="12" customHeight="1">
      <c r="A119" s="43">
        <v>115</v>
      </c>
      <c r="B119" s="43"/>
      <c r="C119" s="44">
        <f t="shared" si="3"/>
        <v>498.87677961156953</v>
      </c>
      <c r="D119" s="44">
        <f t="shared" si="4"/>
        <v>1587.5118452703489</v>
      </c>
      <c r="E119" s="44"/>
      <c r="F119" s="44"/>
      <c r="G119" s="44"/>
      <c r="H119" s="45">
        <f t="shared" si="5"/>
        <v>10</v>
      </c>
      <c r="I119" s="40"/>
    </row>
    <row r="120" spans="1:9" ht="12" customHeight="1">
      <c r="A120" s="43">
        <v>116</v>
      </c>
      <c r="B120" s="43"/>
      <c r="C120" s="44">
        <f t="shared" si="3"/>
        <v>501.7868941593037</v>
      </c>
      <c r="D120" s="44">
        <f t="shared" si="4"/>
        <v>1584.6017307226148</v>
      </c>
      <c r="E120" s="44"/>
      <c r="F120" s="44"/>
      <c r="G120" s="44"/>
      <c r="H120" s="45">
        <f t="shared" si="5"/>
        <v>10</v>
      </c>
      <c r="I120" s="40"/>
    </row>
    <row r="121" spans="1:9" ht="12" customHeight="1">
      <c r="A121" s="43">
        <v>117</v>
      </c>
      <c r="B121" s="43"/>
      <c r="C121" s="44">
        <f t="shared" si="3"/>
        <v>504.713984375233</v>
      </c>
      <c r="D121" s="44">
        <f t="shared" si="4"/>
        <v>1581.6746405066856</v>
      </c>
      <c r="E121" s="44"/>
      <c r="F121" s="44"/>
      <c r="G121" s="44"/>
      <c r="H121" s="45">
        <f t="shared" si="5"/>
        <v>10</v>
      </c>
      <c r="I121" s="40"/>
    </row>
    <row r="122" spans="1:9" ht="12" customHeight="1">
      <c r="A122" s="43">
        <v>118</v>
      </c>
      <c r="B122" s="43"/>
      <c r="C122" s="44">
        <f t="shared" si="3"/>
        <v>507.65814928408855</v>
      </c>
      <c r="D122" s="44">
        <f t="shared" si="4"/>
        <v>1578.73047559783</v>
      </c>
      <c r="E122" s="44"/>
      <c r="F122" s="44"/>
      <c r="G122" s="44"/>
      <c r="H122" s="45">
        <f t="shared" si="5"/>
        <v>10</v>
      </c>
      <c r="I122" s="40"/>
    </row>
    <row r="123" spans="1:9" ht="12" customHeight="1">
      <c r="A123" s="43">
        <v>119</v>
      </c>
      <c r="B123" s="43"/>
      <c r="C123" s="44">
        <f t="shared" si="3"/>
        <v>510.61948848824574</v>
      </c>
      <c r="D123" s="44">
        <f t="shared" si="4"/>
        <v>1575.7691363936729</v>
      </c>
      <c r="E123" s="44"/>
      <c r="F123" s="44"/>
      <c r="G123" s="44"/>
      <c r="H123" s="45">
        <f t="shared" si="5"/>
        <v>10</v>
      </c>
      <c r="I123" s="40"/>
    </row>
    <row r="124" spans="1:9" ht="12" customHeight="1">
      <c r="A124" s="46">
        <v>120</v>
      </c>
      <c r="B124" s="46"/>
      <c r="C124" s="47">
        <f t="shared" si="3"/>
        <v>513.59810217109373</v>
      </c>
      <c r="D124" s="47">
        <f t="shared" si="4"/>
        <v>1572.7905227108249</v>
      </c>
      <c r="E124" s="47">
        <f>C1-SUM(C5:C124)</f>
        <v>269107.63436254172</v>
      </c>
      <c r="F124" s="47">
        <f>SUM(C5:C124)</f>
        <v>44492.365637458308</v>
      </c>
      <c r="G124" s="47">
        <f>SUM(C113:C124)</f>
        <v>5970.3399745843635</v>
      </c>
      <c r="H124" s="48">
        <f t="shared" si="5"/>
        <v>10</v>
      </c>
      <c r="I124" s="40"/>
    </row>
    <row r="125" spans="1:9" ht="12" customHeight="1">
      <c r="A125" s="49">
        <v>121</v>
      </c>
      <c r="B125" s="49"/>
      <c r="C125" s="50">
        <f t="shared" si="3"/>
        <v>516.5940911004252</v>
      </c>
      <c r="D125" s="50">
        <f t="shared" si="4"/>
        <v>1569.7945337814931</v>
      </c>
      <c r="E125" s="50"/>
      <c r="F125" s="50"/>
      <c r="G125" s="50"/>
      <c r="H125" s="51">
        <f t="shared" si="5"/>
        <v>11</v>
      </c>
      <c r="I125" s="40"/>
    </row>
    <row r="126" spans="1:9" ht="12" customHeight="1">
      <c r="A126" s="49">
        <v>122</v>
      </c>
      <c r="B126" s="49"/>
      <c r="C126" s="50">
        <f t="shared" si="3"/>
        <v>519.60755663184432</v>
      </c>
      <c r="D126" s="50">
        <f t="shared" si="4"/>
        <v>1566.7810682500742</v>
      </c>
      <c r="E126" s="50"/>
      <c r="F126" s="50"/>
      <c r="G126" s="50"/>
      <c r="H126" s="51">
        <f t="shared" si="5"/>
        <v>11</v>
      </c>
      <c r="I126" s="40"/>
    </row>
    <row r="127" spans="1:9" ht="12" customHeight="1">
      <c r="A127" s="49">
        <v>123</v>
      </c>
      <c r="B127" s="49"/>
      <c r="C127" s="50">
        <f t="shared" si="3"/>
        <v>522.63860071219676</v>
      </c>
      <c r="D127" s="50">
        <f t="shared" si="4"/>
        <v>1563.7500241697217</v>
      </c>
      <c r="E127" s="50"/>
      <c r="F127" s="50"/>
      <c r="G127" s="50"/>
      <c r="H127" s="51">
        <f t="shared" si="5"/>
        <v>11</v>
      </c>
      <c r="I127" s="40"/>
    </row>
    <row r="128" spans="1:9" ht="12" customHeight="1">
      <c r="A128" s="49">
        <v>124</v>
      </c>
      <c r="B128" s="49"/>
      <c r="C128" s="50">
        <f t="shared" si="3"/>
        <v>525.68732588301793</v>
      </c>
      <c r="D128" s="50">
        <f t="shared" si="4"/>
        <v>1560.7012989989007</v>
      </c>
      <c r="E128" s="50"/>
      <c r="F128" s="50"/>
      <c r="G128" s="50"/>
      <c r="H128" s="51">
        <f t="shared" si="5"/>
        <v>11</v>
      </c>
      <c r="I128" s="40"/>
    </row>
    <row r="129" spans="1:9" ht="12" customHeight="1">
      <c r="A129" s="49">
        <v>125</v>
      </c>
      <c r="B129" s="49"/>
      <c r="C129" s="50">
        <f t="shared" si="3"/>
        <v>528.75383528400221</v>
      </c>
      <c r="D129" s="50">
        <f t="shared" si="4"/>
        <v>1557.6347895979166</v>
      </c>
      <c r="E129" s="50"/>
      <c r="F129" s="50"/>
      <c r="G129" s="50"/>
      <c r="H129" s="51">
        <f t="shared" si="5"/>
        <v>11</v>
      </c>
      <c r="I129" s="40"/>
    </row>
    <row r="130" spans="1:9" ht="12" customHeight="1">
      <c r="A130" s="49">
        <v>126</v>
      </c>
      <c r="B130" s="49"/>
      <c r="C130" s="50">
        <f t="shared" si="3"/>
        <v>531.83823265649221</v>
      </c>
      <c r="D130" s="50">
        <f t="shared" si="4"/>
        <v>1554.5503922254263</v>
      </c>
      <c r="E130" s="50"/>
      <c r="F130" s="50"/>
      <c r="G130" s="50"/>
      <c r="H130" s="51">
        <f t="shared" si="5"/>
        <v>11</v>
      </c>
      <c r="I130" s="40"/>
    </row>
    <row r="131" spans="1:9" ht="12" customHeight="1">
      <c r="A131" s="49">
        <v>127</v>
      </c>
      <c r="B131" s="49"/>
      <c r="C131" s="50">
        <f t="shared" si="3"/>
        <v>534.94062234698833</v>
      </c>
      <c r="D131" s="50">
        <f t="shared" si="4"/>
        <v>1551.4480025349305</v>
      </c>
      <c r="E131" s="50"/>
      <c r="F131" s="50"/>
      <c r="G131" s="50"/>
      <c r="H131" s="51">
        <f t="shared" si="5"/>
        <v>11</v>
      </c>
      <c r="I131" s="40"/>
    </row>
    <row r="132" spans="1:9" ht="12" customHeight="1">
      <c r="A132" s="49">
        <v>128</v>
      </c>
      <c r="B132" s="49"/>
      <c r="C132" s="50">
        <f t="shared" si="3"/>
        <v>538.06110931067917</v>
      </c>
      <c r="D132" s="50">
        <f t="shared" si="4"/>
        <v>1548.3275155712397</v>
      </c>
      <c r="E132" s="50"/>
      <c r="F132" s="50"/>
      <c r="G132" s="50"/>
      <c r="H132" s="51">
        <f t="shared" si="5"/>
        <v>11</v>
      </c>
      <c r="I132" s="40"/>
    </row>
    <row r="133" spans="1:9" ht="12" customHeight="1">
      <c r="A133" s="49">
        <v>129</v>
      </c>
      <c r="B133" s="49"/>
      <c r="C133" s="50">
        <f t="shared" ref="C133:C196" si="6">PPMT(C$2/12,A133,C$3,C$1*-1)</f>
        <v>541.19979911499149</v>
      </c>
      <c r="D133" s="50">
        <f t="shared" ref="D133:D196" si="7">IPMT(C$2/12,A133,C$3,C$1*-1)</f>
        <v>1545.1888257669273</v>
      </c>
      <c r="E133" s="50"/>
      <c r="F133" s="50"/>
      <c r="G133" s="50"/>
      <c r="H133" s="51">
        <f t="shared" ref="H133:H196" si="8">ROUNDUP(A133/12,0)</f>
        <v>11</v>
      </c>
      <c r="I133" s="40"/>
    </row>
    <row r="134" spans="1:9" ht="12" customHeight="1">
      <c r="A134" s="49">
        <v>130</v>
      </c>
      <c r="B134" s="49"/>
      <c r="C134" s="50">
        <f t="shared" si="6"/>
        <v>544.35679794316218</v>
      </c>
      <c r="D134" s="50">
        <f t="shared" si="7"/>
        <v>1542.0318269387562</v>
      </c>
      <c r="E134" s="50"/>
      <c r="F134" s="50"/>
      <c r="G134" s="50"/>
      <c r="H134" s="51">
        <f t="shared" si="8"/>
        <v>11</v>
      </c>
      <c r="I134" s="40"/>
    </row>
    <row r="135" spans="1:9" ht="12" customHeight="1">
      <c r="A135" s="49">
        <v>131</v>
      </c>
      <c r="B135" s="49"/>
      <c r="C135" s="50">
        <f t="shared" si="6"/>
        <v>547.53221259783072</v>
      </c>
      <c r="D135" s="50">
        <f t="shared" si="7"/>
        <v>1538.856412284088</v>
      </c>
      <c r="E135" s="50"/>
      <c r="F135" s="50"/>
      <c r="G135" s="50"/>
      <c r="H135" s="51">
        <f t="shared" si="8"/>
        <v>11</v>
      </c>
      <c r="I135" s="40"/>
    </row>
    <row r="136" spans="1:9" s="56" customFormat="1" ht="12" customHeight="1">
      <c r="A136" s="46">
        <v>132</v>
      </c>
      <c r="B136" s="46"/>
      <c r="C136" s="47">
        <f t="shared" si="6"/>
        <v>550.7261505046514</v>
      </c>
      <c r="D136" s="47">
        <f t="shared" si="7"/>
        <v>1535.662474377267</v>
      </c>
      <c r="E136" s="47">
        <f>C1-SUM(C4:C136)</f>
        <v>262705.69802845543</v>
      </c>
      <c r="F136" s="47">
        <f>SUM(C5:C136)</f>
        <v>50894.301971544577</v>
      </c>
      <c r="G136" s="47">
        <f>SUM(C125:C136)</f>
        <v>6401.9363340862828</v>
      </c>
      <c r="H136" s="48">
        <f t="shared" si="8"/>
        <v>11</v>
      </c>
      <c r="I136" s="55"/>
    </row>
    <row r="137" spans="1:9" ht="12" customHeight="1">
      <c r="A137" s="43">
        <v>133</v>
      </c>
      <c r="B137" s="43"/>
      <c r="C137" s="44">
        <f t="shared" si="6"/>
        <v>553.93871971592853</v>
      </c>
      <c r="D137" s="44">
        <f t="shared" si="7"/>
        <v>1532.44990516599</v>
      </c>
      <c r="E137" s="44"/>
      <c r="F137" s="44"/>
      <c r="G137" s="44"/>
      <c r="H137" s="45">
        <f t="shared" si="8"/>
        <v>12</v>
      </c>
      <c r="I137" s="40"/>
    </row>
    <row r="138" spans="1:9" ht="12" customHeight="1">
      <c r="A138" s="43">
        <v>134</v>
      </c>
      <c r="B138" s="43"/>
      <c r="C138" s="44">
        <f t="shared" si="6"/>
        <v>557.17002891427148</v>
      </c>
      <c r="D138" s="44">
        <f t="shared" si="7"/>
        <v>1529.2185959676472</v>
      </c>
      <c r="E138" s="44"/>
      <c r="F138" s="44"/>
      <c r="G138" s="44"/>
      <c r="H138" s="45">
        <f t="shared" si="8"/>
        <v>12</v>
      </c>
      <c r="I138" s="40"/>
    </row>
    <row r="139" spans="1:9" ht="12" customHeight="1">
      <c r="A139" s="43">
        <v>135</v>
      </c>
      <c r="B139" s="43"/>
      <c r="C139" s="44">
        <f t="shared" si="6"/>
        <v>560.42018741627123</v>
      </c>
      <c r="D139" s="44">
        <f t="shared" si="7"/>
        <v>1525.9684374656474</v>
      </c>
      <c r="E139" s="44"/>
      <c r="F139" s="44"/>
      <c r="G139" s="44"/>
      <c r="H139" s="45">
        <f t="shared" si="8"/>
        <v>12</v>
      </c>
      <c r="I139" s="40"/>
    </row>
    <row r="140" spans="1:9" ht="12" customHeight="1">
      <c r="A140" s="43">
        <v>136</v>
      </c>
      <c r="B140" s="43"/>
      <c r="C140" s="44">
        <f t="shared" si="6"/>
        <v>563.68930517619958</v>
      </c>
      <c r="D140" s="44">
        <f t="shared" si="7"/>
        <v>1522.6993197057191</v>
      </c>
      <c r="E140" s="44"/>
      <c r="F140" s="44"/>
      <c r="G140" s="44"/>
      <c r="H140" s="45">
        <f t="shared" si="8"/>
        <v>12</v>
      </c>
      <c r="I140" s="40"/>
    </row>
    <row r="141" spans="1:9" ht="12" customHeight="1">
      <c r="A141" s="43">
        <v>137</v>
      </c>
      <c r="B141" s="43"/>
      <c r="C141" s="44">
        <f t="shared" si="6"/>
        <v>566.97749278972742</v>
      </c>
      <c r="D141" s="44">
        <f t="shared" si="7"/>
        <v>1519.4111320921911</v>
      </c>
      <c r="E141" s="44"/>
      <c r="F141" s="44"/>
      <c r="G141" s="44"/>
      <c r="H141" s="45">
        <f t="shared" si="8"/>
        <v>12</v>
      </c>
      <c r="I141" s="40"/>
    </row>
    <row r="142" spans="1:9" ht="12" customHeight="1">
      <c r="A142" s="43">
        <v>138</v>
      </c>
      <c r="B142" s="43"/>
      <c r="C142" s="44">
        <f t="shared" si="6"/>
        <v>570.28486149766741</v>
      </c>
      <c r="D142" s="44">
        <f t="shared" si="7"/>
        <v>1516.1037633842511</v>
      </c>
      <c r="E142" s="44"/>
      <c r="F142" s="44"/>
      <c r="G142" s="44"/>
      <c r="H142" s="45">
        <f t="shared" si="8"/>
        <v>12</v>
      </c>
      <c r="I142" s="40"/>
    </row>
    <row r="143" spans="1:9" ht="12" customHeight="1">
      <c r="A143" s="43">
        <v>139</v>
      </c>
      <c r="B143" s="43"/>
      <c r="C143" s="44">
        <f t="shared" si="6"/>
        <v>573.61152318973723</v>
      </c>
      <c r="D143" s="44">
        <f t="shared" si="7"/>
        <v>1512.7771016921815</v>
      </c>
      <c r="E143" s="44"/>
      <c r="F143" s="44"/>
      <c r="G143" s="44"/>
      <c r="H143" s="45">
        <f t="shared" si="8"/>
        <v>12</v>
      </c>
      <c r="I143" s="40"/>
    </row>
    <row r="144" spans="1:9" ht="12" customHeight="1">
      <c r="A144" s="43">
        <v>140</v>
      </c>
      <c r="B144" s="43"/>
      <c r="C144" s="44">
        <f t="shared" si="6"/>
        <v>576.95759040834389</v>
      </c>
      <c r="D144" s="44">
        <f t="shared" si="7"/>
        <v>1509.4310344735745</v>
      </c>
      <c r="E144" s="44"/>
      <c r="F144" s="44"/>
      <c r="G144" s="44"/>
      <c r="H144" s="45">
        <f t="shared" si="8"/>
        <v>12</v>
      </c>
      <c r="I144" s="40"/>
    </row>
    <row r="145" spans="1:9" ht="12" customHeight="1">
      <c r="A145" s="43">
        <v>141</v>
      </c>
      <c r="B145" s="43"/>
      <c r="C145" s="44">
        <f t="shared" si="6"/>
        <v>580.32317635239269</v>
      </c>
      <c r="D145" s="44">
        <f t="shared" si="7"/>
        <v>1506.0654485295258</v>
      </c>
      <c r="E145" s="44"/>
      <c r="F145" s="44"/>
      <c r="G145" s="44"/>
      <c r="H145" s="45">
        <f t="shared" si="8"/>
        <v>12</v>
      </c>
      <c r="I145" s="40"/>
    </row>
    <row r="146" spans="1:9" ht="12" customHeight="1">
      <c r="A146" s="43">
        <v>142</v>
      </c>
      <c r="B146" s="43"/>
      <c r="C146" s="44">
        <f t="shared" si="6"/>
        <v>583.70839488111505</v>
      </c>
      <c r="D146" s="44">
        <f t="shared" si="7"/>
        <v>1502.6802300008032</v>
      </c>
      <c r="E146" s="44"/>
      <c r="F146" s="44"/>
      <c r="G146" s="44"/>
      <c r="H146" s="45">
        <f t="shared" si="8"/>
        <v>12</v>
      </c>
      <c r="I146" s="40"/>
    </row>
    <row r="147" spans="1:9" ht="12" customHeight="1">
      <c r="A147" s="43">
        <v>143</v>
      </c>
      <c r="B147" s="43"/>
      <c r="C147" s="44">
        <f t="shared" si="6"/>
        <v>587.11336051792148</v>
      </c>
      <c r="D147" s="44">
        <f t="shared" si="7"/>
        <v>1499.2752643639969</v>
      </c>
      <c r="E147" s="44"/>
      <c r="F147" s="44"/>
      <c r="G147" s="44"/>
      <c r="H147" s="45">
        <f t="shared" si="8"/>
        <v>12</v>
      </c>
      <c r="I147" s="40"/>
    </row>
    <row r="148" spans="1:9" s="56" customFormat="1" ht="12" customHeight="1">
      <c r="A148" s="46">
        <v>144</v>
      </c>
      <c r="B148" s="46"/>
      <c r="C148" s="47">
        <f t="shared" si="6"/>
        <v>590.538188454276</v>
      </c>
      <c r="D148" s="47">
        <f t="shared" si="7"/>
        <v>1495.8504364276423</v>
      </c>
      <c r="E148" s="47">
        <f>C1-SUM(C4:C148)</f>
        <v>255840.96519914159</v>
      </c>
      <c r="F148" s="47">
        <f>SUM(C5:C148)</f>
        <v>57759.034800858426</v>
      </c>
      <c r="G148" s="47">
        <f>SUM(C137:C148)</f>
        <v>6864.7328293138517</v>
      </c>
      <c r="H148" s="48">
        <f t="shared" si="8"/>
        <v>12</v>
      </c>
      <c r="I148" s="55"/>
    </row>
    <row r="149" spans="1:9" ht="12" customHeight="1">
      <c r="A149" s="49">
        <v>145</v>
      </c>
      <c r="B149" s="49"/>
      <c r="C149" s="50">
        <f t="shared" si="6"/>
        <v>593.98299455359268</v>
      </c>
      <c r="D149" s="50">
        <f t="shared" si="7"/>
        <v>1492.405630328326</v>
      </c>
      <c r="E149" s="50"/>
      <c r="F149" s="50"/>
      <c r="G149" s="50"/>
      <c r="H149" s="51">
        <f t="shared" si="8"/>
        <v>13</v>
      </c>
      <c r="I149" s="40"/>
    </row>
    <row r="150" spans="1:9" ht="12" customHeight="1">
      <c r="A150" s="49">
        <v>146</v>
      </c>
      <c r="B150" s="49"/>
      <c r="C150" s="50">
        <f t="shared" si="6"/>
        <v>597.4478953551552</v>
      </c>
      <c r="D150" s="50">
        <f t="shared" si="7"/>
        <v>1488.9407295267633</v>
      </c>
      <c r="E150" s="50"/>
      <c r="F150" s="50"/>
      <c r="G150" s="50"/>
      <c r="H150" s="51">
        <f t="shared" si="8"/>
        <v>13</v>
      </c>
      <c r="I150" s="40"/>
    </row>
    <row r="151" spans="1:9" ht="12" customHeight="1">
      <c r="A151" s="49">
        <v>147</v>
      </c>
      <c r="B151" s="49"/>
      <c r="C151" s="50">
        <f t="shared" si="6"/>
        <v>600.93300807806042</v>
      </c>
      <c r="D151" s="50">
        <f t="shared" si="7"/>
        <v>1485.4556168038582</v>
      </c>
      <c r="E151" s="50"/>
      <c r="F151" s="50"/>
      <c r="G151" s="50"/>
      <c r="H151" s="51">
        <f t="shared" si="8"/>
        <v>13</v>
      </c>
      <c r="I151" s="40"/>
    </row>
    <row r="152" spans="1:9" ht="12" customHeight="1">
      <c r="A152" s="49">
        <v>148</v>
      </c>
      <c r="B152" s="49"/>
      <c r="C152" s="50">
        <f t="shared" si="6"/>
        <v>604.43845062518233</v>
      </c>
      <c r="D152" s="50">
        <f t="shared" si="7"/>
        <v>1481.9501742567363</v>
      </c>
      <c r="E152" s="50"/>
      <c r="F152" s="50"/>
      <c r="G152" s="50"/>
      <c r="H152" s="51">
        <f t="shared" si="8"/>
        <v>13</v>
      </c>
      <c r="I152" s="40"/>
    </row>
    <row r="153" spans="1:9" ht="12" customHeight="1">
      <c r="A153" s="49">
        <v>149</v>
      </c>
      <c r="B153" s="49"/>
      <c r="C153" s="50">
        <f t="shared" si="6"/>
        <v>607.96434158716261</v>
      </c>
      <c r="D153" s="50">
        <f t="shared" si="7"/>
        <v>1478.4242832947559</v>
      </c>
      <c r="E153" s="50"/>
      <c r="F153" s="50"/>
      <c r="G153" s="50"/>
      <c r="H153" s="51">
        <f t="shared" si="8"/>
        <v>13</v>
      </c>
      <c r="I153" s="40"/>
    </row>
    <row r="154" spans="1:9" ht="12" customHeight="1">
      <c r="A154" s="49">
        <v>150</v>
      </c>
      <c r="B154" s="49"/>
      <c r="C154" s="50">
        <f t="shared" si="6"/>
        <v>611.51080024642113</v>
      </c>
      <c r="D154" s="50">
        <f t="shared" si="7"/>
        <v>1474.8778246354975</v>
      </c>
      <c r="E154" s="50"/>
      <c r="F154" s="50"/>
      <c r="G154" s="50"/>
      <c r="H154" s="51">
        <f t="shared" si="8"/>
        <v>13</v>
      </c>
      <c r="I154" s="40"/>
    </row>
    <row r="155" spans="1:9" ht="12" customHeight="1">
      <c r="A155" s="49">
        <v>151</v>
      </c>
      <c r="B155" s="49"/>
      <c r="C155" s="50">
        <f t="shared" si="6"/>
        <v>615.07794658119178</v>
      </c>
      <c r="D155" s="50">
        <f t="shared" si="7"/>
        <v>1471.310678300727</v>
      </c>
      <c r="E155" s="50"/>
      <c r="F155" s="50"/>
      <c r="G155" s="50"/>
      <c r="H155" s="51">
        <f t="shared" si="8"/>
        <v>13</v>
      </c>
      <c r="I155" s="40"/>
    </row>
    <row r="156" spans="1:9" ht="12" customHeight="1">
      <c r="A156" s="49">
        <v>152</v>
      </c>
      <c r="B156" s="49"/>
      <c r="C156" s="50">
        <f t="shared" si="6"/>
        <v>618.66590126958215</v>
      </c>
      <c r="D156" s="50">
        <f t="shared" si="7"/>
        <v>1467.7227236123363</v>
      </c>
      <c r="E156" s="50"/>
      <c r="F156" s="50"/>
      <c r="G156" s="50"/>
      <c r="H156" s="51">
        <f t="shared" si="8"/>
        <v>13</v>
      </c>
      <c r="I156" s="40"/>
    </row>
    <row r="157" spans="1:9" ht="12" customHeight="1">
      <c r="A157" s="49">
        <v>153</v>
      </c>
      <c r="B157" s="49"/>
      <c r="C157" s="50">
        <f t="shared" si="6"/>
        <v>622.27478569365462</v>
      </c>
      <c r="D157" s="50">
        <f t="shared" si="7"/>
        <v>1464.1138391882639</v>
      </c>
      <c r="E157" s="50"/>
      <c r="F157" s="50"/>
      <c r="G157" s="50"/>
      <c r="H157" s="51">
        <f t="shared" si="8"/>
        <v>13</v>
      </c>
      <c r="I157" s="40"/>
    </row>
    <row r="158" spans="1:9" ht="12" customHeight="1">
      <c r="A158" s="49">
        <v>154</v>
      </c>
      <c r="B158" s="49"/>
      <c r="C158" s="50">
        <f t="shared" si="6"/>
        <v>625.90472194353435</v>
      </c>
      <c r="D158" s="50">
        <f t="shared" si="7"/>
        <v>1460.4839029383841</v>
      </c>
      <c r="E158" s="50"/>
      <c r="F158" s="50"/>
      <c r="G158" s="50"/>
      <c r="H158" s="51">
        <f t="shared" si="8"/>
        <v>13</v>
      </c>
      <c r="I158" s="40"/>
    </row>
    <row r="159" spans="1:9" ht="12" customHeight="1">
      <c r="A159" s="49">
        <v>155</v>
      </c>
      <c r="B159" s="49"/>
      <c r="C159" s="50">
        <f t="shared" si="6"/>
        <v>629.55583282153839</v>
      </c>
      <c r="D159" s="50">
        <f t="shared" si="7"/>
        <v>1456.8327920603804</v>
      </c>
      <c r="E159" s="50"/>
      <c r="F159" s="50"/>
      <c r="G159" s="50"/>
      <c r="H159" s="51">
        <f t="shared" si="8"/>
        <v>13</v>
      </c>
      <c r="I159" s="40"/>
    </row>
    <row r="160" spans="1:9" s="56" customFormat="1" ht="12" customHeight="1">
      <c r="A160" s="46">
        <v>156</v>
      </c>
      <c r="B160" s="46"/>
      <c r="C160" s="47">
        <f t="shared" si="6"/>
        <v>633.22824184633055</v>
      </c>
      <c r="D160" s="47">
        <f t="shared" si="7"/>
        <v>1453.160383035588</v>
      </c>
      <c r="E160" s="47">
        <f>C1-SUM(C4:C160)</f>
        <v>248479.98027854017</v>
      </c>
      <c r="F160" s="47">
        <f>SUM(C5:C160)</f>
        <v>65120.019721459837</v>
      </c>
      <c r="G160" s="47">
        <f>SUM(C149:C160)</f>
        <v>7360.984920601406</v>
      </c>
      <c r="H160" s="48">
        <f t="shared" si="8"/>
        <v>13</v>
      </c>
      <c r="I160" s="55"/>
    </row>
    <row r="161" spans="1:9" ht="12" customHeight="1">
      <c r="A161" s="43">
        <v>157</v>
      </c>
      <c r="B161" s="43"/>
      <c r="C161" s="44">
        <f t="shared" si="6"/>
        <v>636.92207325710081</v>
      </c>
      <c r="D161" s="44">
        <f t="shared" si="7"/>
        <v>1449.4665516248176</v>
      </c>
      <c r="E161" s="44"/>
      <c r="F161" s="44"/>
      <c r="G161" s="44"/>
      <c r="H161" s="45">
        <f t="shared" si="8"/>
        <v>14</v>
      </c>
      <c r="I161" s="40"/>
    </row>
    <row r="162" spans="1:9" ht="12" customHeight="1">
      <c r="A162" s="43">
        <v>158</v>
      </c>
      <c r="B162" s="43"/>
      <c r="C162" s="44">
        <f t="shared" si="6"/>
        <v>640.63745201776737</v>
      </c>
      <c r="D162" s="44">
        <f t="shared" si="7"/>
        <v>1445.7511728641514</v>
      </c>
      <c r="E162" s="44"/>
      <c r="F162" s="44"/>
      <c r="G162" s="44"/>
      <c r="H162" s="45">
        <f t="shared" si="8"/>
        <v>14</v>
      </c>
      <c r="I162" s="40"/>
    </row>
    <row r="163" spans="1:9" ht="12" customHeight="1">
      <c r="A163" s="43">
        <v>159</v>
      </c>
      <c r="B163" s="43"/>
      <c r="C163" s="44">
        <f t="shared" si="6"/>
        <v>644.37450382120426</v>
      </c>
      <c r="D163" s="44">
        <f t="shared" si="7"/>
        <v>1442.0141210607144</v>
      </c>
      <c r="E163" s="44"/>
      <c r="F163" s="44"/>
      <c r="G163" s="44"/>
      <c r="H163" s="45">
        <f t="shared" si="8"/>
        <v>14</v>
      </c>
      <c r="I163" s="40"/>
    </row>
    <row r="164" spans="1:9" ht="12" customHeight="1">
      <c r="A164" s="43">
        <v>160</v>
      </c>
      <c r="B164" s="43"/>
      <c r="C164" s="44">
        <f t="shared" si="6"/>
        <v>648.13335509349463</v>
      </c>
      <c r="D164" s="44">
        <f t="shared" si="7"/>
        <v>1438.2552697884239</v>
      </c>
      <c r="E164" s="44"/>
      <c r="F164" s="44"/>
      <c r="G164" s="44"/>
      <c r="H164" s="45">
        <f t="shared" si="8"/>
        <v>14</v>
      </c>
      <c r="I164" s="40"/>
    </row>
    <row r="165" spans="1:9" ht="12" customHeight="1">
      <c r="A165" s="43">
        <v>161</v>
      </c>
      <c r="B165" s="43"/>
      <c r="C165" s="44">
        <f t="shared" si="6"/>
        <v>651.91413299820658</v>
      </c>
      <c r="D165" s="44">
        <f t="shared" si="7"/>
        <v>1434.4744918837121</v>
      </c>
      <c r="E165" s="44"/>
      <c r="F165" s="44"/>
      <c r="G165" s="44"/>
      <c r="H165" s="45">
        <f t="shared" si="8"/>
        <v>14</v>
      </c>
      <c r="I165" s="40"/>
    </row>
    <row r="166" spans="1:9" ht="12" customHeight="1">
      <c r="A166" s="43">
        <v>162</v>
      </c>
      <c r="B166" s="43"/>
      <c r="C166" s="44">
        <f t="shared" si="6"/>
        <v>655.71696544069619</v>
      </c>
      <c r="D166" s="44">
        <f t="shared" si="7"/>
        <v>1430.6716594412223</v>
      </c>
      <c r="E166" s="44"/>
      <c r="F166" s="44"/>
      <c r="G166" s="44"/>
      <c r="H166" s="45">
        <f t="shared" si="8"/>
        <v>14</v>
      </c>
      <c r="I166" s="40"/>
    </row>
    <row r="167" spans="1:9" ht="12" customHeight="1">
      <c r="A167" s="43">
        <v>163</v>
      </c>
      <c r="B167" s="43"/>
      <c r="C167" s="44">
        <f t="shared" si="6"/>
        <v>659.54198107243371</v>
      </c>
      <c r="D167" s="44">
        <f t="shared" si="7"/>
        <v>1426.8466438094849</v>
      </c>
      <c r="E167" s="44"/>
      <c r="F167" s="44"/>
      <c r="G167" s="44"/>
      <c r="H167" s="45">
        <f t="shared" si="8"/>
        <v>14</v>
      </c>
      <c r="I167" s="40"/>
    </row>
    <row r="168" spans="1:9" ht="12" customHeight="1">
      <c r="A168" s="43">
        <v>164</v>
      </c>
      <c r="B168" s="43"/>
      <c r="C168" s="44">
        <f t="shared" si="6"/>
        <v>663.38930929535616</v>
      </c>
      <c r="D168" s="44">
        <f t="shared" si="7"/>
        <v>1422.9993155865627</v>
      </c>
      <c r="E168" s="44"/>
      <c r="F168" s="44"/>
      <c r="G168" s="44"/>
      <c r="H168" s="45">
        <f t="shared" si="8"/>
        <v>14</v>
      </c>
      <c r="I168" s="40"/>
    </row>
    <row r="169" spans="1:9" ht="12" customHeight="1">
      <c r="A169" s="43">
        <v>165</v>
      </c>
      <c r="B169" s="43"/>
      <c r="C169" s="44">
        <f t="shared" si="6"/>
        <v>667.25908026624575</v>
      </c>
      <c r="D169" s="44">
        <f t="shared" si="7"/>
        <v>1419.1295446156728</v>
      </c>
      <c r="E169" s="44"/>
      <c r="F169" s="44"/>
      <c r="G169" s="44"/>
      <c r="H169" s="45">
        <f t="shared" si="8"/>
        <v>14</v>
      </c>
      <c r="I169" s="40"/>
    </row>
    <row r="170" spans="1:9" ht="12" customHeight="1">
      <c r="A170" s="43">
        <v>166</v>
      </c>
      <c r="B170" s="43"/>
      <c r="C170" s="44">
        <f t="shared" si="6"/>
        <v>671.15142490113203</v>
      </c>
      <c r="D170" s="44">
        <f t="shared" si="7"/>
        <v>1415.2371999807867</v>
      </c>
      <c r="E170" s="44"/>
      <c r="F170" s="44"/>
      <c r="G170" s="44"/>
      <c r="H170" s="45">
        <f t="shared" si="8"/>
        <v>14</v>
      </c>
      <c r="I170" s="40"/>
    </row>
    <row r="171" spans="1:9" ht="12" customHeight="1">
      <c r="A171" s="43">
        <v>167</v>
      </c>
      <c r="B171" s="43"/>
      <c r="C171" s="44">
        <f t="shared" si="6"/>
        <v>675.06647487972202</v>
      </c>
      <c r="D171" s="44">
        <f t="shared" si="7"/>
        <v>1411.3221500021964</v>
      </c>
      <c r="E171" s="44"/>
      <c r="F171" s="44"/>
      <c r="G171" s="44"/>
      <c r="H171" s="45">
        <f t="shared" si="8"/>
        <v>14</v>
      </c>
      <c r="I171" s="40"/>
    </row>
    <row r="172" spans="1:9" s="56" customFormat="1" ht="12" customHeight="1">
      <c r="A172" s="46">
        <v>168</v>
      </c>
      <c r="B172" s="46"/>
      <c r="C172" s="47">
        <f t="shared" si="6"/>
        <v>679.00436264985376</v>
      </c>
      <c r="D172" s="47">
        <f t="shared" si="7"/>
        <v>1407.3842622320647</v>
      </c>
      <c r="E172" s="47">
        <f>C1-SUM(C4:C172)</f>
        <v>240586.86916284694</v>
      </c>
      <c r="F172" s="47">
        <f>SUM(C5:C172)</f>
        <v>73013.130837153047</v>
      </c>
      <c r="G172" s="47">
        <f>SUM(C161:C172)</f>
        <v>7893.111115693212</v>
      </c>
      <c r="H172" s="48">
        <f t="shared" si="8"/>
        <v>14</v>
      </c>
      <c r="I172" s="55"/>
    </row>
    <row r="173" spans="1:9" ht="12" customHeight="1">
      <c r="A173" s="49">
        <v>169</v>
      </c>
      <c r="B173" s="49"/>
      <c r="C173" s="50">
        <f t="shared" si="6"/>
        <v>682.96522143197785</v>
      </c>
      <c r="D173" s="50">
        <f t="shared" si="7"/>
        <v>1403.4234034499407</v>
      </c>
      <c r="E173" s="50"/>
      <c r="F173" s="50"/>
      <c r="G173" s="50"/>
      <c r="H173" s="51">
        <f t="shared" si="8"/>
        <v>15</v>
      </c>
      <c r="I173" s="40"/>
    </row>
    <row r="174" spans="1:9" ht="12" customHeight="1">
      <c r="A174" s="49">
        <v>170</v>
      </c>
      <c r="B174" s="49"/>
      <c r="C174" s="50">
        <f t="shared" si="6"/>
        <v>686.94918522366447</v>
      </c>
      <c r="D174" s="50">
        <f t="shared" si="7"/>
        <v>1399.4394396582541</v>
      </c>
      <c r="E174" s="50"/>
      <c r="F174" s="50"/>
      <c r="G174" s="50"/>
      <c r="H174" s="51">
        <f t="shared" si="8"/>
        <v>15</v>
      </c>
      <c r="I174" s="40"/>
    </row>
    <row r="175" spans="1:9" ht="12" customHeight="1">
      <c r="A175" s="49">
        <v>171</v>
      </c>
      <c r="B175" s="49"/>
      <c r="C175" s="50">
        <f t="shared" si="6"/>
        <v>690.95638880413583</v>
      </c>
      <c r="D175" s="50">
        <f t="shared" si="7"/>
        <v>1395.432236077783</v>
      </c>
      <c r="E175" s="50"/>
      <c r="F175" s="50"/>
      <c r="G175" s="50"/>
      <c r="H175" s="51">
        <f t="shared" si="8"/>
        <v>15</v>
      </c>
      <c r="I175" s="40"/>
    </row>
    <row r="176" spans="1:9" ht="12" customHeight="1">
      <c r="A176" s="49">
        <v>172</v>
      </c>
      <c r="B176" s="49"/>
      <c r="C176" s="50">
        <f t="shared" si="6"/>
        <v>694.98696773882659</v>
      </c>
      <c r="D176" s="50">
        <f t="shared" si="7"/>
        <v>1391.4016571430918</v>
      </c>
      <c r="E176" s="50"/>
      <c r="F176" s="50"/>
      <c r="G176" s="50"/>
      <c r="H176" s="51">
        <f t="shared" si="8"/>
        <v>15</v>
      </c>
      <c r="I176" s="40"/>
    </row>
    <row r="177" spans="1:9" ht="12" customHeight="1">
      <c r="A177" s="49">
        <v>173</v>
      </c>
      <c r="B177" s="49"/>
      <c r="C177" s="50">
        <f t="shared" si="6"/>
        <v>699.04105838396993</v>
      </c>
      <c r="D177" s="50">
        <f t="shared" si="7"/>
        <v>1387.3475664979487</v>
      </c>
      <c r="E177" s="50"/>
      <c r="F177" s="50"/>
      <c r="G177" s="50"/>
      <c r="H177" s="51">
        <f t="shared" si="8"/>
        <v>15</v>
      </c>
      <c r="I177" s="40"/>
    </row>
    <row r="178" spans="1:9" ht="12" customHeight="1">
      <c r="A178" s="49">
        <v>174</v>
      </c>
      <c r="B178" s="49"/>
      <c r="C178" s="50">
        <f t="shared" si="6"/>
        <v>703.11879789120962</v>
      </c>
      <c r="D178" s="50">
        <f t="shared" si="7"/>
        <v>1383.2698269907089</v>
      </c>
      <c r="E178" s="50"/>
      <c r="F178" s="50"/>
      <c r="G178" s="50"/>
      <c r="H178" s="51">
        <f t="shared" si="8"/>
        <v>15</v>
      </c>
      <c r="I178" s="40"/>
    </row>
    <row r="179" spans="1:9" ht="12" customHeight="1">
      <c r="A179" s="49">
        <v>175</v>
      </c>
      <c r="B179" s="49"/>
      <c r="C179" s="50">
        <f t="shared" si="6"/>
        <v>707.22032421224174</v>
      </c>
      <c r="D179" s="50">
        <f t="shared" si="7"/>
        <v>1379.1683006696771</v>
      </c>
      <c r="E179" s="50"/>
      <c r="F179" s="50"/>
      <c r="G179" s="50"/>
      <c r="H179" s="51">
        <f t="shared" si="8"/>
        <v>15</v>
      </c>
      <c r="I179" s="40"/>
    </row>
    <row r="180" spans="1:9" ht="12" customHeight="1">
      <c r="A180" s="49">
        <v>176</v>
      </c>
      <c r="B180" s="49"/>
      <c r="C180" s="50">
        <f t="shared" si="6"/>
        <v>711.34577610347981</v>
      </c>
      <c r="D180" s="50">
        <f t="shared" si="7"/>
        <v>1375.0428487784388</v>
      </c>
      <c r="E180" s="50"/>
      <c r="F180" s="50"/>
      <c r="G180" s="50"/>
      <c r="H180" s="51">
        <f t="shared" si="8"/>
        <v>15</v>
      </c>
      <c r="I180" s="40"/>
    </row>
    <row r="181" spans="1:9" ht="12" customHeight="1">
      <c r="A181" s="49">
        <v>177</v>
      </c>
      <c r="B181" s="49"/>
      <c r="C181" s="50">
        <f t="shared" si="6"/>
        <v>715.49529313074993</v>
      </c>
      <c r="D181" s="50">
        <f t="shared" si="7"/>
        <v>1370.8933317511685</v>
      </c>
      <c r="E181" s="50"/>
      <c r="F181" s="50"/>
      <c r="G181" s="50"/>
      <c r="H181" s="51">
        <f t="shared" si="8"/>
        <v>15</v>
      </c>
      <c r="I181" s="40"/>
    </row>
    <row r="182" spans="1:9" ht="12" customHeight="1">
      <c r="A182" s="49">
        <v>178</v>
      </c>
      <c r="B182" s="49"/>
      <c r="C182" s="50">
        <f t="shared" si="6"/>
        <v>719.66901567401283</v>
      </c>
      <c r="D182" s="50">
        <f t="shared" si="7"/>
        <v>1366.7196092079059</v>
      </c>
      <c r="E182" s="50"/>
      <c r="F182" s="50"/>
      <c r="G182" s="50"/>
      <c r="H182" s="51">
        <f t="shared" si="8"/>
        <v>15</v>
      </c>
      <c r="I182" s="40"/>
    </row>
    <row r="183" spans="1:9" ht="12" customHeight="1">
      <c r="A183" s="49">
        <v>179</v>
      </c>
      <c r="B183" s="49"/>
      <c r="C183" s="50">
        <f t="shared" si="6"/>
        <v>723.86708493211108</v>
      </c>
      <c r="D183" s="50">
        <f t="shared" si="7"/>
        <v>1362.5215399498074</v>
      </c>
      <c r="E183" s="50"/>
      <c r="F183" s="50"/>
      <c r="G183" s="50"/>
      <c r="H183" s="51">
        <f t="shared" si="8"/>
        <v>15</v>
      </c>
      <c r="I183" s="40"/>
    </row>
    <row r="184" spans="1:9" ht="12" customHeight="1">
      <c r="A184" s="46">
        <v>180</v>
      </c>
      <c r="B184" s="46"/>
      <c r="C184" s="47">
        <f t="shared" si="6"/>
        <v>728.08964292754843</v>
      </c>
      <c r="D184" s="47">
        <f t="shared" si="7"/>
        <v>1358.29898195437</v>
      </c>
      <c r="E184" s="47">
        <f>C1-SUM(C5:C184)</f>
        <v>232123.16440639304</v>
      </c>
      <c r="F184" s="47">
        <f>SUM(C5:C184)</f>
        <v>81476.835593606957</v>
      </c>
      <c r="G184" s="47">
        <f>SUM(C173:C184)</f>
        <v>8463.704756453928</v>
      </c>
      <c r="H184" s="48">
        <f t="shared" si="8"/>
        <v>15</v>
      </c>
      <c r="I184" s="40"/>
    </row>
    <row r="185" spans="1:9" ht="12" customHeight="1">
      <c r="A185" s="43">
        <v>181</v>
      </c>
      <c r="B185" s="43"/>
      <c r="C185" s="44">
        <f t="shared" si="6"/>
        <v>732.33683251129253</v>
      </c>
      <c r="D185" s="44">
        <f t="shared" si="7"/>
        <v>1354.0517923706259</v>
      </c>
      <c r="E185" s="44"/>
      <c r="F185" s="44"/>
      <c r="G185" s="44"/>
      <c r="H185" s="45">
        <f t="shared" si="8"/>
        <v>16</v>
      </c>
      <c r="I185" s="40"/>
    </row>
    <row r="186" spans="1:9" ht="12" customHeight="1">
      <c r="A186" s="43">
        <v>182</v>
      </c>
      <c r="B186" s="43"/>
      <c r="C186" s="44">
        <f t="shared" si="6"/>
        <v>736.60879736760842</v>
      </c>
      <c r="D186" s="44">
        <f t="shared" si="7"/>
        <v>1349.7798275143102</v>
      </c>
      <c r="E186" s="44"/>
      <c r="F186" s="44"/>
      <c r="G186" s="44"/>
      <c r="H186" s="45">
        <f t="shared" si="8"/>
        <v>16</v>
      </c>
      <c r="I186" s="40"/>
    </row>
    <row r="187" spans="1:9" ht="12" customHeight="1">
      <c r="A187" s="43">
        <v>183</v>
      </c>
      <c r="B187" s="43"/>
      <c r="C187" s="44">
        <f t="shared" si="6"/>
        <v>740.90568201891938</v>
      </c>
      <c r="D187" s="44">
        <f t="shared" si="7"/>
        <v>1345.4829428629992</v>
      </c>
      <c r="E187" s="44"/>
      <c r="F187" s="44"/>
      <c r="G187" s="44"/>
      <c r="H187" s="45">
        <f t="shared" si="8"/>
        <v>16</v>
      </c>
      <c r="I187" s="40"/>
    </row>
    <row r="188" spans="1:9" ht="12" customHeight="1">
      <c r="A188" s="43">
        <v>184</v>
      </c>
      <c r="B188" s="43"/>
      <c r="C188" s="44">
        <f t="shared" si="6"/>
        <v>745.2276318306964</v>
      </c>
      <c r="D188" s="44">
        <f t="shared" si="7"/>
        <v>1341.160993051222</v>
      </c>
      <c r="E188" s="44"/>
      <c r="F188" s="44"/>
      <c r="G188" s="44"/>
      <c r="H188" s="45">
        <f t="shared" si="8"/>
        <v>16</v>
      </c>
      <c r="I188" s="40"/>
    </row>
    <row r="189" spans="1:9" ht="12" customHeight="1">
      <c r="A189" s="43">
        <v>185</v>
      </c>
      <c r="B189" s="43"/>
      <c r="C189" s="44">
        <f t="shared" si="6"/>
        <v>749.57479301637557</v>
      </c>
      <c r="D189" s="44">
        <f t="shared" si="7"/>
        <v>1336.8138318655429</v>
      </c>
      <c r="E189" s="44"/>
      <c r="F189" s="44"/>
      <c r="G189" s="44"/>
      <c r="H189" s="45">
        <f t="shared" si="8"/>
        <v>16</v>
      </c>
      <c r="I189" s="40"/>
    </row>
    <row r="190" spans="1:9" ht="12" customHeight="1">
      <c r="A190" s="43">
        <v>186</v>
      </c>
      <c r="B190" s="43"/>
      <c r="C190" s="44">
        <f t="shared" si="6"/>
        <v>753.9473126423045</v>
      </c>
      <c r="D190" s="44">
        <f t="shared" si="7"/>
        <v>1332.4413122396143</v>
      </c>
      <c r="E190" s="44"/>
      <c r="F190" s="44"/>
      <c r="G190" s="44"/>
      <c r="H190" s="45">
        <f t="shared" si="8"/>
        <v>16</v>
      </c>
      <c r="I190" s="40"/>
    </row>
    <row r="191" spans="1:9" ht="12" customHeight="1">
      <c r="A191" s="43">
        <v>187</v>
      </c>
      <c r="B191" s="43"/>
      <c r="C191" s="44">
        <f t="shared" si="6"/>
        <v>758.34533863271781</v>
      </c>
      <c r="D191" s="44">
        <f t="shared" si="7"/>
        <v>1328.0432862492009</v>
      </c>
      <c r="E191" s="44"/>
      <c r="F191" s="44"/>
      <c r="G191" s="44"/>
      <c r="H191" s="45">
        <f t="shared" si="8"/>
        <v>16</v>
      </c>
      <c r="I191" s="40"/>
    </row>
    <row r="192" spans="1:9" ht="12" customHeight="1">
      <c r="A192" s="43">
        <v>188</v>
      </c>
      <c r="B192" s="43"/>
      <c r="C192" s="44">
        <f t="shared" si="6"/>
        <v>762.76901977474199</v>
      </c>
      <c r="D192" s="44">
        <f t="shared" si="7"/>
        <v>1323.6196051071765</v>
      </c>
      <c r="E192" s="44"/>
      <c r="F192" s="44"/>
      <c r="G192" s="44"/>
      <c r="H192" s="45">
        <f t="shared" si="8"/>
        <v>16</v>
      </c>
      <c r="I192" s="40"/>
    </row>
    <row r="193" spans="1:9" ht="12" customHeight="1">
      <c r="A193" s="43">
        <v>189</v>
      </c>
      <c r="B193" s="43"/>
      <c r="C193" s="44">
        <f t="shared" si="6"/>
        <v>767.21850572342805</v>
      </c>
      <c r="D193" s="44">
        <f t="shared" si="7"/>
        <v>1319.1701191584907</v>
      </c>
      <c r="E193" s="44"/>
      <c r="F193" s="44"/>
      <c r="G193" s="44"/>
      <c r="H193" s="45">
        <f t="shared" si="8"/>
        <v>16</v>
      </c>
      <c r="I193" s="40"/>
    </row>
    <row r="194" spans="1:9" ht="12" customHeight="1">
      <c r="A194" s="43">
        <v>190</v>
      </c>
      <c r="B194" s="43"/>
      <c r="C194" s="44">
        <f t="shared" si="6"/>
        <v>771.6939470068146</v>
      </c>
      <c r="D194" s="44">
        <f t="shared" si="7"/>
        <v>1314.6946778751039</v>
      </c>
      <c r="E194" s="44"/>
      <c r="F194" s="44"/>
      <c r="G194" s="44"/>
      <c r="H194" s="45">
        <f t="shared" si="8"/>
        <v>16</v>
      </c>
      <c r="I194" s="40"/>
    </row>
    <row r="195" spans="1:9" ht="12" customHeight="1">
      <c r="A195" s="43">
        <v>191</v>
      </c>
      <c r="B195" s="43"/>
      <c r="C195" s="44">
        <f t="shared" si="6"/>
        <v>776.1954950310211</v>
      </c>
      <c r="D195" s="44">
        <f t="shared" si="7"/>
        <v>1310.1931298508973</v>
      </c>
      <c r="E195" s="44"/>
      <c r="F195" s="44"/>
      <c r="G195" s="44"/>
      <c r="H195" s="45">
        <f t="shared" si="8"/>
        <v>16</v>
      </c>
      <c r="I195" s="40"/>
    </row>
    <row r="196" spans="1:9" s="56" customFormat="1" ht="12" customHeight="1">
      <c r="A196" s="46">
        <v>192</v>
      </c>
      <c r="B196" s="46"/>
      <c r="C196" s="47">
        <f t="shared" si="6"/>
        <v>780.72330208536869</v>
      </c>
      <c r="D196" s="47">
        <f t="shared" si="7"/>
        <v>1305.6653227965498</v>
      </c>
      <c r="E196" s="47">
        <f>C1-SUM(C4:C196)</f>
        <v>223047.61774875174</v>
      </c>
      <c r="F196" s="47">
        <f>SUM(C5:C196)</f>
        <v>90552.382251248258</v>
      </c>
      <c r="G196" s="47">
        <f>SUM(C185:C196)</f>
        <v>9075.5466576412891</v>
      </c>
      <c r="H196" s="48">
        <f t="shared" si="8"/>
        <v>16</v>
      </c>
      <c r="I196" s="55"/>
    </row>
    <row r="197" spans="1:9" ht="12" customHeight="1">
      <c r="A197" s="49">
        <v>193</v>
      </c>
      <c r="B197" s="49"/>
      <c r="C197" s="50">
        <f t="shared" ref="C197:C260" si="9">PPMT(C$2/12,A197,C$3,C$1*-1)</f>
        <v>785.27752134753337</v>
      </c>
      <c r="D197" s="50">
        <f t="shared" ref="D197:D260" si="10">IPMT(C$2/12,A197,C$3,C$1*-1)</f>
        <v>1301.1111035343852</v>
      </c>
      <c r="E197" s="50"/>
      <c r="F197" s="50"/>
      <c r="G197" s="50"/>
      <c r="H197" s="51">
        <f t="shared" ref="H197:H260" si="11">ROUNDUP(A197/12,0)</f>
        <v>17</v>
      </c>
      <c r="I197" s="40"/>
    </row>
    <row r="198" spans="1:9" ht="12" customHeight="1">
      <c r="A198" s="49">
        <v>194</v>
      </c>
      <c r="B198" s="49"/>
      <c r="C198" s="50">
        <f t="shared" si="9"/>
        <v>789.85830688872727</v>
      </c>
      <c r="D198" s="50">
        <f t="shared" si="10"/>
        <v>1296.5303179931911</v>
      </c>
      <c r="E198" s="50"/>
      <c r="F198" s="50"/>
      <c r="G198" s="50"/>
      <c r="H198" s="51">
        <f t="shared" si="11"/>
        <v>17</v>
      </c>
      <c r="I198" s="40"/>
    </row>
    <row r="199" spans="1:9" ht="12" customHeight="1">
      <c r="A199" s="49">
        <v>195</v>
      </c>
      <c r="B199" s="49"/>
      <c r="C199" s="50">
        <f t="shared" si="9"/>
        <v>794.46581367891156</v>
      </c>
      <c r="D199" s="50">
        <f t="shared" si="10"/>
        <v>1291.9228112030071</v>
      </c>
      <c r="E199" s="50"/>
      <c r="F199" s="50"/>
      <c r="G199" s="50"/>
      <c r="H199" s="51">
        <f t="shared" si="11"/>
        <v>17</v>
      </c>
      <c r="I199" s="40"/>
    </row>
    <row r="200" spans="1:9" ht="12" customHeight="1">
      <c r="A200" s="49">
        <v>196</v>
      </c>
      <c r="B200" s="49"/>
      <c r="C200" s="50">
        <f t="shared" si="9"/>
        <v>799.10019759203863</v>
      </c>
      <c r="D200" s="50">
        <f t="shared" si="10"/>
        <v>1287.28842728988</v>
      </c>
      <c r="E200" s="50"/>
      <c r="F200" s="50"/>
      <c r="G200" s="50"/>
      <c r="H200" s="51">
        <f t="shared" si="11"/>
        <v>17</v>
      </c>
      <c r="I200" s="40"/>
    </row>
    <row r="201" spans="1:9" ht="12" customHeight="1">
      <c r="A201" s="49">
        <v>197</v>
      </c>
      <c r="B201" s="49"/>
      <c r="C201" s="50">
        <f t="shared" si="9"/>
        <v>803.76161541132535</v>
      </c>
      <c r="D201" s="50">
        <f t="shared" si="10"/>
        <v>1282.6270094705931</v>
      </c>
      <c r="E201" s="50"/>
      <c r="F201" s="50"/>
      <c r="G201" s="50"/>
      <c r="H201" s="51">
        <f t="shared" si="11"/>
        <v>17</v>
      </c>
      <c r="I201" s="40"/>
    </row>
    <row r="202" spans="1:9" ht="12" customHeight="1">
      <c r="A202" s="49">
        <v>198</v>
      </c>
      <c r="B202" s="49"/>
      <c r="C202" s="50">
        <f t="shared" si="9"/>
        <v>808.45022483455807</v>
      </c>
      <c r="D202" s="50">
        <f t="shared" si="10"/>
        <v>1277.9384000473603</v>
      </c>
      <c r="E202" s="50"/>
      <c r="F202" s="50"/>
      <c r="G202" s="50"/>
      <c r="H202" s="51">
        <f t="shared" si="11"/>
        <v>17</v>
      </c>
      <c r="I202" s="40"/>
    </row>
    <row r="203" spans="1:9" ht="12" customHeight="1">
      <c r="A203" s="49">
        <v>199</v>
      </c>
      <c r="B203" s="49"/>
      <c r="C203" s="50">
        <f t="shared" si="9"/>
        <v>813.16618447942653</v>
      </c>
      <c r="D203" s="50">
        <f t="shared" si="10"/>
        <v>1273.2224404024923</v>
      </c>
      <c r="E203" s="50"/>
      <c r="F203" s="50"/>
      <c r="G203" s="50"/>
      <c r="H203" s="51">
        <f t="shared" si="11"/>
        <v>17</v>
      </c>
      <c r="I203" s="40"/>
    </row>
    <row r="204" spans="1:9" ht="12" customHeight="1">
      <c r="A204" s="49">
        <v>200</v>
      </c>
      <c r="B204" s="49"/>
      <c r="C204" s="50">
        <f t="shared" si="9"/>
        <v>817.90965388888981</v>
      </c>
      <c r="D204" s="50">
        <f t="shared" si="10"/>
        <v>1268.478970993029</v>
      </c>
      <c r="E204" s="50"/>
      <c r="F204" s="50"/>
      <c r="G204" s="50"/>
      <c r="H204" s="51">
        <f t="shared" si="11"/>
        <v>17</v>
      </c>
      <c r="I204" s="40"/>
    </row>
    <row r="205" spans="1:9" ht="12" customHeight="1">
      <c r="A205" s="49">
        <v>201</v>
      </c>
      <c r="B205" s="49"/>
      <c r="C205" s="50">
        <f t="shared" si="9"/>
        <v>822.68079353657492</v>
      </c>
      <c r="D205" s="50">
        <f t="shared" si="10"/>
        <v>1263.7078313453435</v>
      </c>
      <c r="E205" s="50"/>
      <c r="F205" s="50"/>
      <c r="G205" s="50"/>
      <c r="H205" s="51">
        <f t="shared" si="11"/>
        <v>17</v>
      </c>
      <c r="I205" s="40"/>
    </row>
    <row r="206" spans="1:9" ht="12" customHeight="1">
      <c r="A206" s="49">
        <v>202</v>
      </c>
      <c r="B206" s="49"/>
      <c r="C206" s="50">
        <f t="shared" si="9"/>
        <v>827.47976483220486</v>
      </c>
      <c r="D206" s="50">
        <f t="shared" si="10"/>
        <v>1258.9088600497137</v>
      </c>
      <c r="E206" s="50"/>
      <c r="F206" s="50"/>
      <c r="G206" s="50"/>
      <c r="H206" s="51">
        <f t="shared" si="11"/>
        <v>17</v>
      </c>
      <c r="I206" s="40"/>
    </row>
    <row r="207" spans="1:9" ht="12" customHeight="1">
      <c r="A207" s="49">
        <v>203</v>
      </c>
      <c r="B207" s="49"/>
      <c r="C207" s="50">
        <f t="shared" si="9"/>
        <v>832.30673012705938</v>
      </c>
      <c r="D207" s="50">
        <f t="shared" si="10"/>
        <v>1254.0818947548594</v>
      </c>
      <c r="E207" s="50"/>
      <c r="F207" s="50"/>
      <c r="G207" s="50"/>
      <c r="H207" s="51">
        <f t="shared" si="11"/>
        <v>17</v>
      </c>
      <c r="I207" s="40"/>
    </row>
    <row r="208" spans="1:9" s="56" customFormat="1" ht="12" customHeight="1">
      <c r="A208" s="46">
        <v>204</v>
      </c>
      <c r="B208" s="46"/>
      <c r="C208" s="47">
        <f t="shared" si="9"/>
        <v>837.16185271946733</v>
      </c>
      <c r="D208" s="47">
        <f t="shared" si="10"/>
        <v>1249.2267721624512</v>
      </c>
      <c r="E208" s="47">
        <f>C1-SUM(C4:C208)</f>
        <v>213315.99908941504</v>
      </c>
      <c r="F208" s="47">
        <f>SUM(C5:C208)</f>
        <v>100284.00091058496</v>
      </c>
      <c r="G208" s="47">
        <f>SUM(C197:C208)</f>
        <v>9731.6186593367183</v>
      </c>
      <c r="H208" s="48">
        <f t="shared" si="11"/>
        <v>17</v>
      </c>
      <c r="I208" s="55"/>
    </row>
    <row r="209" spans="1:9" ht="12" customHeight="1">
      <c r="A209" s="43">
        <v>205</v>
      </c>
      <c r="B209" s="43"/>
      <c r="C209" s="44">
        <f t="shared" si="9"/>
        <v>842.04529686033095</v>
      </c>
      <c r="D209" s="44">
        <f t="shared" si="10"/>
        <v>1244.3433280215877</v>
      </c>
      <c r="E209" s="44"/>
      <c r="F209" s="44"/>
      <c r="G209" s="44"/>
      <c r="H209" s="45">
        <f t="shared" si="11"/>
        <v>18</v>
      </c>
      <c r="I209" s="40"/>
    </row>
    <row r="210" spans="1:9" ht="12" customHeight="1">
      <c r="A210" s="43">
        <v>206</v>
      </c>
      <c r="B210" s="43"/>
      <c r="C210" s="44">
        <f t="shared" si="9"/>
        <v>846.95722775868273</v>
      </c>
      <c r="D210" s="44">
        <f t="shared" si="10"/>
        <v>1239.4313971232359</v>
      </c>
      <c r="E210" s="44"/>
      <c r="F210" s="44"/>
      <c r="G210" s="44"/>
      <c r="H210" s="45">
        <f t="shared" si="11"/>
        <v>18</v>
      </c>
      <c r="I210" s="40"/>
    </row>
    <row r="211" spans="1:9" ht="12" customHeight="1">
      <c r="A211" s="43">
        <v>207</v>
      </c>
      <c r="B211" s="43"/>
      <c r="C211" s="44">
        <f t="shared" si="9"/>
        <v>851.89781158727521</v>
      </c>
      <c r="D211" s="44">
        <f t="shared" si="10"/>
        <v>1234.4908132946434</v>
      </c>
      <c r="E211" s="44"/>
      <c r="F211" s="44"/>
      <c r="G211" s="44"/>
      <c r="H211" s="45">
        <f t="shared" si="11"/>
        <v>18</v>
      </c>
      <c r="I211" s="40"/>
    </row>
    <row r="212" spans="1:9" ht="12" customHeight="1">
      <c r="A212" s="43">
        <v>208</v>
      </c>
      <c r="B212" s="43"/>
      <c r="C212" s="44">
        <f t="shared" si="9"/>
        <v>856.86721548820094</v>
      </c>
      <c r="D212" s="44">
        <f t="shared" si="10"/>
        <v>1229.5214093937172</v>
      </c>
      <c r="E212" s="44"/>
      <c r="F212" s="44"/>
      <c r="G212" s="44"/>
      <c r="H212" s="45">
        <f t="shared" si="11"/>
        <v>18</v>
      </c>
      <c r="I212" s="40"/>
    </row>
    <row r="213" spans="1:9" ht="12" customHeight="1">
      <c r="A213" s="43">
        <v>209</v>
      </c>
      <c r="B213" s="43"/>
      <c r="C213" s="44">
        <f t="shared" si="9"/>
        <v>861.86560757854886</v>
      </c>
      <c r="D213" s="44">
        <f t="shared" si="10"/>
        <v>1224.5230173033697</v>
      </c>
      <c r="E213" s="44"/>
      <c r="F213" s="44"/>
      <c r="G213" s="44"/>
      <c r="H213" s="45">
        <f t="shared" si="11"/>
        <v>18</v>
      </c>
      <c r="I213" s="40"/>
    </row>
    <row r="214" spans="1:9" ht="12" customHeight="1">
      <c r="A214" s="43">
        <v>210</v>
      </c>
      <c r="B214" s="43"/>
      <c r="C214" s="44">
        <f t="shared" si="9"/>
        <v>866.89315695609037</v>
      </c>
      <c r="D214" s="44">
        <f t="shared" si="10"/>
        <v>1219.4954679258283</v>
      </c>
      <c r="E214" s="44"/>
      <c r="F214" s="44"/>
      <c r="G214" s="44"/>
      <c r="H214" s="45">
        <f t="shared" si="11"/>
        <v>18</v>
      </c>
      <c r="I214" s="40"/>
    </row>
    <row r="215" spans="1:9" ht="12" customHeight="1">
      <c r="A215" s="43">
        <v>211</v>
      </c>
      <c r="B215" s="43"/>
      <c r="C215" s="44">
        <f t="shared" si="9"/>
        <v>871.95003370500069</v>
      </c>
      <c r="D215" s="44">
        <f t="shared" si="10"/>
        <v>1214.438591176918</v>
      </c>
      <c r="E215" s="44"/>
      <c r="F215" s="44"/>
      <c r="G215" s="44"/>
      <c r="H215" s="45">
        <f t="shared" si="11"/>
        <v>18</v>
      </c>
      <c r="I215" s="40"/>
    </row>
    <row r="216" spans="1:9" ht="12" customHeight="1">
      <c r="A216" s="43">
        <v>212</v>
      </c>
      <c r="B216" s="43"/>
      <c r="C216" s="44">
        <f t="shared" si="9"/>
        <v>877.0364089016133</v>
      </c>
      <c r="D216" s="44">
        <f t="shared" si="10"/>
        <v>1209.3522159803051</v>
      </c>
      <c r="E216" s="44"/>
      <c r="F216" s="44"/>
      <c r="G216" s="44"/>
      <c r="H216" s="45">
        <f t="shared" si="11"/>
        <v>18</v>
      </c>
      <c r="I216" s="40"/>
    </row>
    <row r="217" spans="1:9" ht="12" customHeight="1">
      <c r="A217" s="43">
        <v>213</v>
      </c>
      <c r="B217" s="43"/>
      <c r="C217" s="44">
        <f t="shared" si="9"/>
        <v>882.15245462020607</v>
      </c>
      <c r="D217" s="44">
        <f t="shared" si="10"/>
        <v>1204.2361702617125</v>
      </c>
      <c r="E217" s="44"/>
      <c r="F217" s="44"/>
      <c r="G217" s="44"/>
      <c r="H217" s="45">
        <f t="shared" si="11"/>
        <v>18</v>
      </c>
      <c r="I217" s="40"/>
    </row>
    <row r="218" spans="1:9" ht="12" customHeight="1">
      <c r="A218" s="43">
        <v>214</v>
      </c>
      <c r="B218" s="43"/>
      <c r="C218" s="44">
        <f t="shared" si="9"/>
        <v>887.29834393882413</v>
      </c>
      <c r="D218" s="44">
        <f t="shared" si="10"/>
        <v>1199.0902809430947</v>
      </c>
      <c r="E218" s="44"/>
      <c r="F218" s="44"/>
      <c r="G218" s="44"/>
      <c r="H218" s="45">
        <f t="shared" si="11"/>
        <v>18</v>
      </c>
      <c r="I218" s="40"/>
    </row>
    <row r="219" spans="1:9" ht="12" customHeight="1">
      <c r="A219" s="43">
        <v>215</v>
      </c>
      <c r="B219" s="43"/>
      <c r="C219" s="44">
        <f t="shared" si="9"/>
        <v>892.4742509451338</v>
      </c>
      <c r="D219" s="44">
        <f t="shared" si="10"/>
        <v>1193.9143739367848</v>
      </c>
      <c r="E219" s="44"/>
      <c r="F219" s="44"/>
      <c r="G219" s="44"/>
      <c r="H219" s="45">
        <f t="shared" si="11"/>
        <v>18</v>
      </c>
      <c r="I219" s="40"/>
    </row>
    <row r="220" spans="1:9" s="56" customFormat="1" ht="12" customHeight="1">
      <c r="A220" s="46">
        <v>216</v>
      </c>
      <c r="B220" s="46"/>
      <c r="C220" s="47">
        <f t="shared" si="9"/>
        <v>897.68035074231364</v>
      </c>
      <c r="D220" s="47">
        <f t="shared" si="10"/>
        <v>1188.708274139605</v>
      </c>
      <c r="E220" s="47">
        <f>C1-SUM(C4:C220)</f>
        <v>202880.88093033282</v>
      </c>
      <c r="F220" s="47">
        <f>SUM(C5:C220)</f>
        <v>110719.1190696672</v>
      </c>
      <c r="G220" s="47">
        <f>SUM(C209:C220)</f>
        <v>10435.11815908222</v>
      </c>
      <c r="H220" s="48">
        <f t="shared" si="11"/>
        <v>18</v>
      </c>
      <c r="I220" s="55"/>
    </row>
    <row r="221" spans="1:9" ht="12" customHeight="1">
      <c r="A221" s="49">
        <v>217</v>
      </c>
      <c r="B221" s="49"/>
      <c r="C221" s="50">
        <f t="shared" si="9"/>
        <v>902.91681945497703</v>
      </c>
      <c r="D221" s="50">
        <f t="shared" si="10"/>
        <v>1183.4718054269413</v>
      </c>
      <c r="E221" s="50"/>
      <c r="F221" s="50"/>
      <c r="G221" s="50"/>
      <c r="H221" s="51">
        <f t="shared" si="11"/>
        <v>19</v>
      </c>
      <c r="I221" s="40"/>
    </row>
    <row r="222" spans="1:9" ht="12" customHeight="1">
      <c r="A222" s="49">
        <v>218</v>
      </c>
      <c r="B222" s="49"/>
      <c r="C222" s="50">
        <f t="shared" si="9"/>
        <v>908.18383423513137</v>
      </c>
      <c r="D222" s="50">
        <f t="shared" si="10"/>
        <v>1178.2047906467872</v>
      </c>
      <c r="E222" s="50"/>
      <c r="F222" s="50"/>
      <c r="G222" s="50"/>
      <c r="H222" s="51">
        <f t="shared" si="11"/>
        <v>19</v>
      </c>
      <c r="I222" s="40"/>
    </row>
    <row r="223" spans="1:9" ht="12" customHeight="1">
      <c r="A223" s="49">
        <v>219</v>
      </c>
      <c r="B223" s="49"/>
      <c r="C223" s="50">
        <f t="shared" si="9"/>
        <v>913.48157326816943</v>
      </c>
      <c r="D223" s="50">
        <f t="shared" si="10"/>
        <v>1172.9070516137492</v>
      </c>
      <c r="E223" s="50"/>
      <c r="F223" s="50"/>
      <c r="G223" s="50"/>
      <c r="H223" s="51">
        <f t="shared" si="11"/>
        <v>19</v>
      </c>
      <c r="I223" s="40"/>
    </row>
    <row r="224" spans="1:9" ht="12" customHeight="1">
      <c r="A224" s="49">
        <v>220</v>
      </c>
      <c r="B224" s="49"/>
      <c r="C224" s="50">
        <f t="shared" si="9"/>
        <v>918.81021577890044</v>
      </c>
      <c r="D224" s="50">
        <f t="shared" si="10"/>
        <v>1167.5784091030182</v>
      </c>
      <c r="E224" s="50"/>
      <c r="F224" s="50"/>
      <c r="G224" s="50"/>
      <c r="H224" s="51">
        <f t="shared" si="11"/>
        <v>19</v>
      </c>
      <c r="I224" s="40"/>
    </row>
    <row r="225" spans="1:9" ht="12" customHeight="1">
      <c r="A225" s="49">
        <v>221</v>
      </c>
      <c r="B225" s="49"/>
      <c r="C225" s="50">
        <f t="shared" si="9"/>
        <v>924.16994203761078</v>
      </c>
      <c r="D225" s="50">
        <f t="shared" si="10"/>
        <v>1162.2186828443078</v>
      </c>
      <c r="E225" s="50"/>
      <c r="F225" s="50"/>
      <c r="G225" s="50"/>
      <c r="H225" s="51">
        <f t="shared" si="11"/>
        <v>19</v>
      </c>
      <c r="I225" s="40"/>
    </row>
    <row r="226" spans="1:9" ht="12" customHeight="1">
      <c r="A226" s="49">
        <v>222</v>
      </c>
      <c r="B226" s="49"/>
      <c r="C226" s="50">
        <f t="shared" si="9"/>
        <v>929.56093336616357</v>
      </c>
      <c r="D226" s="50">
        <f t="shared" si="10"/>
        <v>1156.8276915157551</v>
      </c>
      <c r="E226" s="50"/>
      <c r="F226" s="50"/>
      <c r="G226" s="50"/>
      <c r="H226" s="51">
        <f t="shared" si="11"/>
        <v>19</v>
      </c>
      <c r="I226" s="40"/>
    </row>
    <row r="227" spans="1:9" ht="12" customHeight="1">
      <c r="A227" s="49">
        <v>223</v>
      </c>
      <c r="B227" s="49"/>
      <c r="C227" s="50">
        <f t="shared" si="9"/>
        <v>934.98337214413277</v>
      </c>
      <c r="D227" s="50">
        <f t="shared" si="10"/>
        <v>1151.4052527377855</v>
      </c>
      <c r="E227" s="50"/>
      <c r="F227" s="50"/>
      <c r="G227" s="50"/>
      <c r="H227" s="51">
        <f t="shared" si="11"/>
        <v>19</v>
      </c>
      <c r="I227" s="40"/>
    </row>
    <row r="228" spans="1:9" ht="12" customHeight="1">
      <c r="A228" s="49">
        <v>224</v>
      </c>
      <c r="B228" s="49"/>
      <c r="C228" s="50">
        <f t="shared" si="9"/>
        <v>940.43744181497345</v>
      </c>
      <c r="D228" s="50">
        <f t="shared" si="10"/>
        <v>1145.9511830669451</v>
      </c>
      <c r="E228" s="50"/>
      <c r="F228" s="50"/>
      <c r="G228" s="50"/>
      <c r="H228" s="51">
        <f t="shared" si="11"/>
        <v>19</v>
      </c>
      <c r="I228" s="40"/>
    </row>
    <row r="229" spans="1:9" ht="12" customHeight="1">
      <c r="A229" s="49">
        <v>225</v>
      </c>
      <c r="B229" s="49"/>
      <c r="C229" s="50">
        <f t="shared" si="9"/>
        <v>945.92332689222746</v>
      </c>
      <c r="D229" s="50">
        <f t="shared" si="10"/>
        <v>1140.4652979896912</v>
      </c>
      <c r="E229" s="50"/>
      <c r="F229" s="50"/>
      <c r="G229" s="50"/>
      <c r="H229" s="51">
        <f t="shared" si="11"/>
        <v>19</v>
      </c>
      <c r="I229" s="40"/>
    </row>
    <row r="230" spans="1:9" ht="12" customHeight="1">
      <c r="A230" s="49">
        <v>226</v>
      </c>
      <c r="B230" s="49"/>
      <c r="C230" s="50">
        <f t="shared" si="9"/>
        <v>951.44121296576543</v>
      </c>
      <c r="D230" s="50">
        <f t="shared" si="10"/>
        <v>1134.9474119161532</v>
      </c>
      <c r="E230" s="50"/>
      <c r="F230" s="50"/>
      <c r="G230" s="50"/>
      <c r="H230" s="51">
        <f t="shared" si="11"/>
        <v>19</v>
      </c>
      <c r="I230" s="40"/>
    </row>
    <row r="231" spans="1:9" ht="12" customHeight="1">
      <c r="A231" s="49">
        <v>227</v>
      </c>
      <c r="B231" s="49"/>
      <c r="C231" s="50">
        <f t="shared" si="9"/>
        <v>956.9912867080659</v>
      </c>
      <c r="D231" s="50">
        <f t="shared" si="10"/>
        <v>1129.3973381738526</v>
      </c>
      <c r="E231" s="50"/>
      <c r="F231" s="50"/>
      <c r="G231" s="50"/>
      <c r="H231" s="51">
        <f t="shared" si="11"/>
        <v>19</v>
      </c>
      <c r="I231" s="40"/>
    </row>
    <row r="232" spans="1:9" s="56" customFormat="1" ht="12" customHeight="1">
      <c r="A232" s="46">
        <v>228</v>
      </c>
      <c r="B232" s="46"/>
      <c r="C232" s="47">
        <f t="shared" si="9"/>
        <v>962.57373588052951</v>
      </c>
      <c r="D232" s="47">
        <f t="shared" si="10"/>
        <v>1123.814889001389</v>
      </c>
      <c r="E232" s="47">
        <f>C1-SUM(C4:C232)</f>
        <v>191691.40723578614</v>
      </c>
      <c r="F232" s="47">
        <f>SUM(C5:C232)</f>
        <v>121908.59276421386</v>
      </c>
      <c r="G232" s="47">
        <f>SUM(C221:C232)</f>
        <v>11189.473694546645</v>
      </c>
      <c r="H232" s="48">
        <f t="shared" si="11"/>
        <v>19</v>
      </c>
      <c r="I232" s="55"/>
    </row>
    <row r="233" spans="1:9" ht="12" customHeight="1">
      <c r="A233" s="43">
        <v>229</v>
      </c>
      <c r="B233" s="43"/>
      <c r="C233" s="44">
        <f t="shared" si="9"/>
        <v>968.18874933983261</v>
      </c>
      <c r="D233" s="44">
        <f t="shared" si="10"/>
        <v>1118.1998755420859</v>
      </c>
      <c r="E233" s="44"/>
      <c r="F233" s="44"/>
      <c r="G233" s="44"/>
      <c r="H233" s="45">
        <f t="shared" si="11"/>
        <v>20</v>
      </c>
      <c r="I233" s="40"/>
    </row>
    <row r="234" spans="1:9" ht="12" customHeight="1">
      <c r="A234" s="43">
        <v>230</v>
      </c>
      <c r="B234" s="43"/>
      <c r="C234" s="44">
        <f t="shared" si="9"/>
        <v>973.83651704431509</v>
      </c>
      <c r="D234" s="44">
        <f t="shared" si="10"/>
        <v>1112.5521078376034</v>
      </c>
      <c r="E234" s="44"/>
      <c r="F234" s="44"/>
      <c r="G234" s="44"/>
      <c r="H234" s="45">
        <f t="shared" si="11"/>
        <v>20</v>
      </c>
      <c r="I234" s="40"/>
    </row>
    <row r="235" spans="1:9" ht="12" customHeight="1">
      <c r="A235" s="43">
        <v>231</v>
      </c>
      <c r="B235" s="43"/>
      <c r="C235" s="44">
        <f t="shared" si="9"/>
        <v>979.51723006040686</v>
      </c>
      <c r="D235" s="44">
        <f t="shared" si="10"/>
        <v>1106.8713948215116</v>
      </c>
      <c r="E235" s="44"/>
      <c r="F235" s="44"/>
      <c r="G235" s="44"/>
      <c r="H235" s="45">
        <f t="shared" si="11"/>
        <v>20</v>
      </c>
      <c r="I235" s="40"/>
    </row>
    <row r="236" spans="1:9" ht="12" customHeight="1">
      <c r="A236" s="43">
        <v>232</v>
      </c>
      <c r="B236" s="43"/>
      <c r="C236" s="44">
        <f t="shared" si="9"/>
        <v>985.23108056909268</v>
      </c>
      <c r="D236" s="44">
        <f t="shared" si="10"/>
        <v>1101.1575443128261</v>
      </c>
      <c r="E236" s="44"/>
      <c r="F236" s="44"/>
      <c r="G236" s="44"/>
      <c r="H236" s="45">
        <f t="shared" si="11"/>
        <v>20</v>
      </c>
      <c r="I236" s="40"/>
    </row>
    <row r="237" spans="1:9" ht="12" customHeight="1">
      <c r="A237" s="43">
        <v>233</v>
      </c>
      <c r="B237" s="43"/>
      <c r="C237" s="44">
        <f t="shared" si="9"/>
        <v>990.97826187241219</v>
      </c>
      <c r="D237" s="44">
        <f t="shared" si="10"/>
        <v>1095.4103630095065</v>
      </c>
      <c r="E237" s="44"/>
      <c r="F237" s="44"/>
      <c r="G237" s="44"/>
      <c r="H237" s="45">
        <f t="shared" si="11"/>
        <v>20</v>
      </c>
      <c r="I237" s="40"/>
    </row>
    <row r="238" spans="1:9" ht="12" customHeight="1">
      <c r="A238" s="43">
        <v>234</v>
      </c>
      <c r="B238" s="43"/>
      <c r="C238" s="44">
        <f t="shared" si="9"/>
        <v>996.75896840000121</v>
      </c>
      <c r="D238" s="44">
        <f t="shared" si="10"/>
        <v>1089.6296564819172</v>
      </c>
      <c r="E238" s="44"/>
      <c r="F238" s="44"/>
      <c r="G238" s="44"/>
      <c r="H238" s="45">
        <f t="shared" si="11"/>
        <v>20</v>
      </c>
      <c r="I238" s="40"/>
    </row>
    <row r="239" spans="1:9" ht="12" customHeight="1">
      <c r="A239" s="43">
        <v>235</v>
      </c>
      <c r="B239" s="43"/>
      <c r="C239" s="44">
        <f t="shared" si="9"/>
        <v>1002.573395715668</v>
      </c>
      <c r="D239" s="44">
        <f t="shared" si="10"/>
        <v>1083.8152291662504</v>
      </c>
      <c r="E239" s="44"/>
      <c r="F239" s="44"/>
      <c r="G239" s="44"/>
      <c r="H239" s="45">
        <f t="shared" si="11"/>
        <v>20</v>
      </c>
      <c r="I239" s="40"/>
    </row>
    <row r="240" spans="1:9" ht="12" customHeight="1">
      <c r="A240" s="43">
        <v>236</v>
      </c>
      <c r="B240" s="43"/>
      <c r="C240" s="44">
        <f t="shared" si="9"/>
        <v>1008.4217405240094</v>
      </c>
      <c r="D240" s="44">
        <f t="shared" si="10"/>
        <v>1077.9668843579093</v>
      </c>
      <c r="E240" s="44"/>
      <c r="F240" s="44"/>
      <c r="G240" s="44"/>
      <c r="H240" s="45">
        <f t="shared" si="11"/>
        <v>20</v>
      </c>
      <c r="I240" s="40"/>
    </row>
    <row r="241" spans="1:9" ht="12" customHeight="1">
      <c r="A241" s="43">
        <v>237</v>
      </c>
      <c r="B241" s="43"/>
      <c r="C241" s="44">
        <f t="shared" si="9"/>
        <v>1014.3042006770661</v>
      </c>
      <c r="D241" s="44">
        <f t="shared" si="10"/>
        <v>1072.0844242048522</v>
      </c>
      <c r="E241" s="44"/>
      <c r="F241" s="44"/>
      <c r="G241" s="44"/>
      <c r="H241" s="45">
        <f t="shared" si="11"/>
        <v>20</v>
      </c>
      <c r="I241" s="40"/>
    </row>
    <row r="242" spans="1:9" ht="12" customHeight="1">
      <c r="A242" s="43">
        <v>238</v>
      </c>
      <c r="B242" s="43"/>
      <c r="C242" s="44">
        <f t="shared" si="9"/>
        <v>1020.2209751810158</v>
      </c>
      <c r="D242" s="44">
        <f t="shared" si="10"/>
        <v>1066.167649700903</v>
      </c>
      <c r="E242" s="44"/>
      <c r="F242" s="44"/>
      <c r="G242" s="44"/>
      <c r="H242" s="45">
        <f t="shared" si="11"/>
        <v>20</v>
      </c>
      <c r="I242" s="40"/>
    </row>
    <row r="243" spans="1:9" ht="12" customHeight="1">
      <c r="A243" s="43">
        <v>239</v>
      </c>
      <c r="B243" s="43"/>
      <c r="C243" s="44">
        <f t="shared" si="9"/>
        <v>1026.1722642029049</v>
      </c>
      <c r="D243" s="44">
        <f t="shared" si="10"/>
        <v>1060.2163606790136</v>
      </c>
      <c r="E243" s="44"/>
      <c r="F243" s="44"/>
      <c r="G243" s="44"/>
      <c r="H243" s="45">
        <f t="shared" si="11"/>
        <v>20</v>
      </c>
      <c r="I243" s="40"/>
    </row>
    <row r="244" spans="1:9" s="56" customFormat="1" ht="12" customHeight="1">
      <c r="A244" s="46">
        <v>240</v>
      </c>
      <c r="B244" s="46"/>
      <c r="C244" s="47">
        <f t="shared" si="9"/>
        <v>1032.1582690774221</v>
      </c>
      <c r="D244" s="47">
        <f t="shared" si="10"/>
        <v>1054.2303558044966</v>
      </c>
      <c r="E244" s="47">
        <f>C1-SUM(C4:C244)</f>
        <v>179693.045583122</v>
      </c>
      <c r="F244" s="47">
        <f>SUM(C5:C244)</f>
        <v>133906.954416878</v>
      </c>
      <c r="G244" s="47">
        <f>SUM(C233:C244)</f>
        <v>11998.361652664149</v>
      </c>
      <c r="H244" s="48">
        <f t="shared" si="11"/>
        <v>20</v>
      </c>
      <c r="I244" s="55"/>
    </row>
    <row r="245" spans="1:9" ht="12" customHeight="1">
      <c r="A245" s="49">
        <v>241</v>
      </c>
      <c r="B245" s="49"/>
      <c r="C245" s="50">
        <f t="shared" si="9"/>
        <v>1038.1791923137068</v>
      </c>
      <c r="D245" s="50">
        <f t="shared" si="10"/>
        <v>1048.2094325682117</v>
      </c>
      <c r="E245" s="50"/>
      <c r="F245" s="50"/>
      <c r="G245" s="50"/>
      <c r="H245" s="51">
        <f t="shared" si="11"/>
        <v>21</v>
      </c>
      <c r="I245" s="40"/>
    </row>
    <row r="246" spans="1:9" ht="12" customHeight="1">
      <c r="A246" s="49">
        <v>242</v>
      </c>
      <c r="B246" s="49"/>
      <c r="C246" s="50">
        <f t="shared" si="9"/>
        <v>1044.2352376022036</v>
      </c>
      <c r="D246" s="50">
        <f t="shared" si="10"/>
        <v>1042.1533872797149</v>
      </c>
      <c r="E246" s="50"/>
      <c r="F246" s="50"/>
      <c r="G246" s="50"/>
      <c r="H246" s="51">
        <f t="shared" si="11"/>
        <v>21</v>
      </c>
      <c r="I246" s="40"/>
    </row>
    <row r="247" spans="1:9" ht="12" customHeight="1">
      <c r="A247" s="49">
        <v>243</v>
      </c>
      <c r="B247" s="49"/>
      <c r="C247" s="50">
        <f t="shared" si="9"/>
        <v>1050.3266098215495</v>
      </c>
      <c r="D247" s="50">
        <f t="shared" si="10"/>
        <v>1036.062015060369</v>
      </c>
      <c r="E247" s="50"/>
      <c r="F247" s="50"/>
      <c r="G247" s="50"/>
      <c r="H247" s="51">
        <f t="shared" si="11"/>
        <v>21</v>
      </c>
      <c r="I247" s="40"/>
    </row>
    <row r="248" spans="1:9" ht="12" customHeight="1">
      <c r="A248" s="49">
        <v>244</v>
      </c>
      <c r="B248" s="49"/>
      <c r="C248" s="50">
        <f t="shared" si="9"/>
        <v>1056.4535150455085</v>
      </c>
      <c r="D248" s="50">
        <f t="shared" si="10"/>
        <v>1029.93510983641</v>
      </c>
      <c r="E248" s="50"/>
      <c r="F248" s="50"/>
      <c r="G248" s="50"/>
      <c r="H248" s="51">
        <f t="shared" si="11"/>
        <v>21</v>
      </c>
      <c r="I248" s="40"/>
    </row>
    <row r="249" spans="1:9" ht="12" customHeight="1">
      <c r="A249" s="49">
        <v>245</v>
      </c>
      <c r="B249" s="49"/>
      <c r="C249" s="50">
        <f t="shared" si="9"/>
        <v>1062.6161605499408</v>
      </c>
      <c r="D249" s="50">
        <f t="shared" si="10"/>
        <v>1023.7724643319777</v>
      </c>
      <c r="E249" s="50"/>
      <c r="F249" s="50"/>
      <c r="G249" s="50"/>
      <c r="H249" s="51">
        <f t="shared" si="11"/>
        <v>21</v>
      </c>
      <c r="I249" s="40"/>
    </row>
    <row r="250" spans="1:9" ht="12" customHeight="1">
      <c r="A250" s="49">
        <v>246</v>
      </c>
      <c r="B250" s="49"/>
      <c r="C250" s="50">
        <f t="shared" si="9"/>
        <v>1068.8147548198156</v>
      </c>
      <c r="D250" s="50">
        <f t="shared" si="10"/>
        <v>1017.5738700621032</v>
      </c>
      <c r="E250" s="50"/>
      <c r="F250" s="50"/>
      <c r="G250" s="50"/>
      <c r="H250" s="51">
        <f t="shared" si="11"/>
        <v>21</v>
      </c>
      <c r="I250" s="40"/>
    </row>
    <row r="251" spans="1:9" ht="12" customHeight="1">
      <c r="A251" s="49">
        <v>247</v>
      </c>
      <c r="B251" s="49"/>
      <c r="C251" s="50">
        <f t="shared" si="9"/>
        <v>1075.0495075562642</v>
      </c>
      <c r="D251" s="50">
        <f t="shared" si="10"/>
        <v>1011.3391173256542</v>
      </c>
      <c r="E251" s="50"/>
      <c r="F251" s="50"/>
      <c r="G251" s="50"/>
      <c r="H251" s="51">
        <f t="shared" si="11"/>
        <v>21</v>
      </c>
      <c r="I251" s="40"/>
    </row>
    <row r="252" spans="1:9" ht="12" customHeight="1">
      <c r="A252" s="49">
        <v>248</v>
      </c>
      <c r="B252" s="49"/>
      <c r="C252" s="50">
        <f t="shared" si="9"/>
        <v>1081.3206296836759</v>
      </c>
      <c r="D252" s="50">
        <f t="shared" si="10"/>
        <v>1005.0679951982427</v>
      </c>
      <c r="E252" s="50"/>
      <c r="F252" s="50"/>
      <c r="G252" s="50"/>
      <c r="H252" s="51">
        <f t="shared" si="11"/>
        <v>21</v>
      </c>
      <c r="I252" s="40"/>
    </row>
    <row r="253" spans="1:9" ht="12" customHeight="1">
      <c r="A253" s="49">
        <v>249</v>
      </c>
      <c r="B253" s="49"/>
      <c r="C253" s="50">
        <f t="shared" si="9"/>
        <v>1087.6283333568308</v>
      </c>
      <c r="D253" s="50">
        <f t="shared" si="10"/>
        <v>998.76029152508784</v>
      </c>
      <c r="E253" s="50"/>
      <c r="F253" s="50"/>
      <c r="G253" s="50"/>
      <c r="H253" s="51">
        <f t="shared" si="11"/>
        <v>21</v>
      </c>
      <c r="I253" s="40"/>
    </row>
    <row r="254" spans="1:9" ht="12" customHeight="1">
      <c r="A254" s="49">
        <v>250</v>
      </c>
      <c r="B254" s="49"/>
      <c r="C254" s="50">
        <f t="shared" si="9"/>
        <v>1093.9728319680789</v>
      </c>
      <c r="D254" s="50">
        <f t="shared" si="10"/>
        <v>992.4157929138396</v>
      </c>
      <c r="E254" s="50"/>
      <c r="F254" s="50"/>
      <c r="G254" s="50"/>
      <c r="H254" s="51">
        <f t="shared" si="11"/>
        <v>21</v>
      </c>
      <c r="I254" s="40"/>
    </row>
    <row r="255" spans="1:9" ht="12" customHeight="1">
      <c r="A255" s="49">
        <v>251</v>
      </c>
      <c r="B255" s="49"/>
      <c r="C255" s="50">
        <f t="shared" si="9"/>
        <v>1100.3543401545594</v>
      </c>
      <c r="D255" s="50">
        <f t="shared" si="10"/>
        <v>986.03428472735925</v>
      </c>
      <c r="E255" s="50"/>
      <c r="F255" s="50"/>
      <c r="G255" s="50"/>
      <c r="H255" s="51">
        <f t="shared" si="11"/>
        <v>21</v>
      </c>
      <c r="I255" s="40"/>
    </row>
    <row r="256" spans="1:9" s="56" customFormat="1" ht="12" customHeight="1">
      <c r="A256" s="46">
        <v>252</v>
      </c>
      <c r="B256" s="46"/>
      <c r="C256" s="47">
        <f t="shared" si="9"/>
        <v>1106.7730738054609</v>
      </c>
      <c r="D256" s="47">
        <f t="shared" si="10"/>
        <v>979.61555107645756</v>
      </c>
      <c r="E256" s="47">
        <f>C1-SUM(C4:C256)</f>
        <v>166827.32139644437</v>
      </c>
      <c r="F256" s="47">
        <f>SUM(C5:C256)</f>
        <v>146772.67860355563</v>
      </c>
      <c r="G256" s="47">
        <f>SUM(C245:C256)</f>
        <v>12865.724186677598</v>
      </c>
      <c r="H256" s="48">
        <f t="shared" si="11"/>
        <v>21</v>
      </c>
      <c r="I256" s="55"/>
    </row>
    <row r="257" spans="1:9" ht="12" customHeight="1">
      <c r="A257" s="43">
        <v>253</v>
      </c>
      <c r="B257" s="43"/>
      <c r="C257" s="44">
        <f t="shared" si="9"/>
        <v>1113.2292500693263</v>
      </c>
      <c r="D257" s="44">
        <f t="shared" si="10"/>
        <v>973.15937481259255</v>
      </c>
      <c r="E257" s="44"/>
      <c r="F257" s="44"/>
      <c r="G257" s="44"/>
      <c r="H257" s="45">
        <f t="shared" si="11"/>
        <v>22</v>
      </c>
      <c r="I257" s="40"/>
    </row>
    <row r="258" spans="1:9" ht="12" customHeight="1">
      <c r="A258" s="43">
        <v>254</v>
      </c>
      <c r="B258" s="43"/>
      <c r="C258" s="44">
        <f t="shared" si="9"/>
        <v>1119.7230873613971</v>
      </c>
      <c r="D258" s="44">
        <f t="shared" si="10"/>
        <v>966.6655375205213</v>
      </c>
      <c r="E258" s="44"/>
      <c r="F258" s="44"/>
      <c r="G258" s="44"/>
      <c r="H258" s="45">
        <f t="shared" si="11"/>
        <v>22</v>
      </c>
      <c r="I258" s="40"/>
    </row>
    <row r="259" spans="1:9" ht="12" customHeight="1">
      <c r="A259" s="43">
        <v>255</v>
      </c>
      <c r="B259" s="43"/>
      <c r="C259" s="44">
        <f t="shared" si="9"/>
        <v>1126.2548053710052</v>
      </c>
      <c r="D259" s="44">
        <f t="shared" si="10"/>
        <v>960.13381951091333</v>
      </c>
      <c r="E259" s="44"/>
      <c r="F259" s="44"/>
      <c r="G259" s="44"/>
      <c r="H259" s="45">
        <f t="shared" si="11"/>
        <v>22</v>
      </c>
      <c r="I259" s="40"/>
    </row>
    <row r="260" spans="1:9" ht="12" customHeight="1">
      <c r="A260" s="43">
        <v>256</v>
      </c>
      <c r="B260" s="43"/>
      <c r="C260" s="44">
        <f t="shared" si="9"/>
        <v>1132.8246250690026</v>
      </c>
      <c r="D260" s="44">
        <f t="shared" si="10"/>
        <v>953.56399981291554</v>
      </c>
      <c r="E260" s="44"/>
      <c r="F260" s="44"/>
      <c r="G260" s="44"/>
      <c r="H260" s="45">
        <f t="shared" si="11"/>
        <v>22</v>
      </c>
      <c r="I260" s="40"/>
    </row>
    <row r="261" spans="1:9" ht="12" customHeight="1">
      <c r="A261" s="43">
        <v>257</v>
      </c>
      <c r="B261" s="43"/>
      <c r="C261" s="44">
        <f t="shared" ref="C261:C324" si="12">PPMT(C$2/12,A261,C$3,C$1*-1)</f>
        <v>1139.4327687152388</v>
      </c>
      <c r="D261" s="44">
        <f t="shared" ref="D261:D324" si="13">IPMT(C$2/12,A261,C$3,C$1*-1)</f>
        <v>946.95585616667972</v>
      </c>
      <c r="E261" s="44"/>
      <c r="F261" s="44"/>
      <c r="G261" s="44"/>
      <c r="H261" s="45">
        <f t="shared" ref="H261:H324" si="14">ROUNDUP(A261/12,0)</f>
        <v>22</v>
      </c>
      <c r="I261" s="40"/>
    </row>
    <row r="262" spans="1:9" ht="12" customHeight="1">
      <c r="A262" s="43">
        <v>258</v>
      </c>
      <c r="B262" s="43"/>
      <c r="C262" s="44">
        <f t="shared" si="12"/>
        <v>1146.0794598660775</v>
      </c>
      <c r="D262" s="44">
        <f t="shared" si="13"/>
        <v>940.30916501584079</v>
      </c>
      <c r="E262" s="44"/>
      <c r="F262" s="44"/>
      <c r="G262" s="44"/>
      <c r="H262" s="45">
        <f t="shared" si="14"/>
        <v>22</v>
      </c>
      <c r="I262" s="40"/>
    </row>
    <row r="263" spans="1:9" ht="12" customHeight="1">
      <c r="A263" s="43">
        <v>259</v>
      </c>
      <c r="B263" s="43"/>
      <c r="C263" s="44">
        <f t="shared" si="12"/>
        <v>1152.7649233819629</v>
      </c>
      <c r="D263" s="44">
        <f t="shared" si="13"/>
        <v>933.62370149995547</v>
      </c>
      <c r="E263" s="44"/>
      <c r="F263" s="44"/>
      <c r="G263" s="44"/>
      <c r="H263" s="45">
        <f t="shared" si="14"/>
        <v>22</v>
      </c>
      <c r="I263" s="40"/>
    </row>
    <row r="264" spans="1:9" ht="12" customHeight="1">
      <c r="A264" s="43">
        <v>260</v>
      </c>
      <c r="B264" s="43"/>
      <c r="C264" s="44">
        <f t="shared" si="12"/>
        <v>1159.4893854350246</v>
      </c>
      <c r="D264" s="44">
        <f t="shared" si="13"/>
        <v>926.89923944689406</v>
      </c>
      <c r="E264" s="44"/>
      <c r="F264" s="44"/>
      <c r="G264" s="44"/>
      <c r="H264" s="45">
        <f t="shared" si="14"/>
        <v>22</v>
      </c>
      <c r="I264" s="40"/>
    </row>
    <row r="265" spans="1:9" ht="12" customHeight="1">
      <c r="A265" s="43">
        <v>261</v>
      </c>
      <c r="B265" s="43"/>
      <c r="C265" s="44">
        <f t="shared" si="12"/>
        <v>1166.2530735167288</v>
      </c>
      <c r="D265" s="44">
        <f t="shared" si="13"/>
        <v>920.1355513651896</v>
      </c>
      <c r="E265" s="44"/>
      <c r="F265" s="44"/>
      <c r="G265" s="44"/>
      <c r="H265" s="45">
        <f t="shared" si="14"/>
        <v>22</v>
      </c>
      <c r="I265" s="40"/>
    </row>
    <row r="266" spans="1:9" ht="12" customHeight="1">
      <c r="A266" s="43">
        <v>262</v>
      </c>
      <c r="B266" s="43"/>
      <c r="C266" s="44">
        <f t="shared" si="12"/>
        <v>1173.0562164455766</v>
      </c>
      <c r="D266" s="44">
        <f t="shared" si="13"/>
        <v>913.33240843634212</v>
      </c>
      <c r="E266" s="44"/>
      <c r="F266" s="44"/>
      <c r="G266" s="44"/>
      <c r="H266" s="45">
        <f t="shared" si="14"/>
        <v>22</v>
      </c>
      <c r="I266" s="40"/>
    </row>
    <row r="267" spans="1:9" ht="12" customHeight="1">
      <c r="A267" s="43">
        <v>263</v>
      </c>
      <c r="B267" s="43"/>
      <c r="C267" s="44">
        <f t="shared" si="12"/>
        <v>1179.8990443748423</v>
      </c>
      <c r="D267" s="44">
        <f t="shared" si="13"/>
        <v>906.48958050707631</v>
      </c>
      <c r="E267" s="44"/>
      <c r="F267" s="44"/>
      <c r="G267" s="44"/>
      <c r="H267" s="45">
        <f t="shared" si="14"/>
        <v>22</v>
      </c>
      <c r="I267" s="40"/>
    </row>
    <row r="268" spans="1:9" s="56" customFormat="1" ht="12" customHeight="1">
      <c r="A268" s="46">
        <v>264</v>
      </c>
      <c r="B268" s="46"/>
      <c r="C268" s="47">
        <f t="shared" si="12"/>
        <v>1186.7817888003619</v>
      </c>
      <c r="D268" s="47">
        <f t="shared" si="13"/>
        <v>899.60683608155637</v>
      </c>
      <c r="E268" s="47">
        <f>C1-SUM(C4:C268)</f>
        <v>153031.53296803779</v>
      </c>
      <c r="F268" s="47">
        <f>SUM(C5:C268)</f>
        <v>160568.46703196221</v>
      </c>
      <c r="G268" s="47">
        <f>SUM(C257:C268)</f>
        <v>13795.788428406548</v>
      </c>
      <c r="H268" s="48">
        <f t="shared" si="14"/>
        <v>22</v>
      </c>
      <c r="I268" s="55"/>
    </row>
    <row r="269" spans="1:9" ht="12" customHeight="1">
      <c r="A269" s="49">
        <v>265</v>
      </c>
      <c r="B269" s="49"/>
      <c r="C269" s="50">
        <f t="shared" si="12"/>
        <v>1193.7046825683642</v>
      </c>
      <c r="D269" s="50">
        <f t="shared" si="13"/>
        <v>892.68394231355433</v>
      </c>
      <c r="E269" s="50"/>
      <c r="F269" s="50"/>
      <c r="G269" s="50"/>
      <c r="H269" s="51">
        <f t="shared" si="14"/>
        <v>23</v>
      </c>
      <c r="I269" s="40"/>
    </row>
    <row r="270" spans="1:9" ht="12" customHeight="1">
      <c r="A270" s="49">
        <v>266</v>
      </c>
      <c r="B270" s="49"/>
      <c r="C270" s="50">
        <f t="shared" si="12"/>
        <v>1200.6679598833464</v>
      </c>
      <c r="D270" s="50">
        <f t="shared" si="13"/>
        <v>885.72066499857215</v>
      </c>
      <c r="E270" s="50"/>
      <c r="F270" s="50"/>
      <c r="G270" s="50"/>
      <c r="H270" s="51">
        <f t="shared" si="14"/>
        <v>23</v>
      </c>
      <c r="I270" s="40"/>
    </row>
    <row r="271" spans="1:9" ht="12" customHeight="1">
      <c r="A271" s="49">
        <v>267</v>
      </c>
      <c r="B271" s="49"/>
      <c r="C271" s="50">
        <f t="shared" si="12"/>
        <v>1207.6718563159995</v>
      </c>
      <c r="D271" s="50">
        <f t="shared" si="13"/>
        <v>878.71676856591932</v>
      </c>
      <c r="E271" s="50"/>
      <c r="F271" s="50"/>
      <c r="G271" s="50"/>
      <c r="H271" s="51">
        <f t="shared" si="14"/>
        <v>23</v>
      </c>
      <c r="I271" s="40"/>
    </row>
    <row r="272" spans="1:9" ht="12" customHeight="1">
      <c r="A272" s="49">
        <v>268</v>
      </c>
      <c r="B272" s="49"/>
      <c r="C272" s="50">
        <f t="shared" si="12"/>
        <v>1214.716608811176</v>
      </c>
      <c r="D272" s="50">
        <f t="shared" si="13"/>
        <v>871.67201607074253</v>
      </c>
      <c r="E272" s="50"/>
      <c r="F272" s="50"/>
      <c r="G272" s="50"/>
      <c r="H272" s="51">
        <f t="shared" si="14"/>
        <v>23</v>
      </c>
      <c r="I272" s="40"/>
    </row>
    <row r="273" spans="1:9" ht="12" customHeight="1">
      <c r="A273" s="49">
        <v>269</v>
      </c>
      <c r="B273" s="49"/>
      <c r="C273" s="50">
        <f t="shared" si="12"/>
        <v>1221.8024556959078</v>
      </c>
      <c r="D273" s="50">
        <f t="shared" si="13"/>
        <v>864.58616918601069</v>
      </c>
      <c r="E273" s="50"/>
      <c r="F273" s="50"/>
      <c r="G273" s="50"/>
      <c r="H273" s="51">
        <f t="shared" si="14"/>
        <v>23</v>
      </c>
      <c r="I273" s="40"/>
    </row>
    <row r="274" spans="1:9" ht="12" customHeight="1">
      <c r="A274" s="49">
        <v>270</v>
      </c>
      <c r="B274" s="49"/>
      <c r="C274" s="50">
        <f t="shared" si="12"/>
        <v>1228.9296366874673</v>
      </c>
      <c r="D274" s="50">
        <f t="shared" si="13"/>
        <v>857.45898819445131</v>
      </c>
      <c r="E274" s="50"/>
      <c r="F274" s="50"/>
      <c r="G274" s="50"/>
      <c r="H274" s="51">
        <f t="shared" si="14"/>
        <v>23</v>
      </c>
      <c r="I274" s="40"/>
    </row>
    <row r="275" spans="1:9" ht="12" customHeight="1">
      <c r="A275" s="49">
        <v>271</v>
      </c>
      <c r="B275" s="49"/>
      <c r="C275" s="50">
        <f t="shared" si="12"/>
        <v>1236.0983929014776</v>
      </c>
      <c r="D275" s="50">
        <f t="shared" si="13"/>
        <v>850.29023198044092</v>
      </c>
      <c r="E275" s="50"/>
      <c r="F275" s="50"/>
      <c r="G275" s="50"/>
      <c r="H275" s="51">
        <f t="shared" si="14"/>
        <v>23</v>
      </c>
      <c r="I275" s="40"/>
    </row>
    <row r="276" spans="1:9" ht="12" customHeight="1">
      <c r="A276" s="49">
        <v>272</v>
      </c>
      <c r="B276" s="49"/>
      <c r="C276" s="50">
        <f t="shared" si="12"/>
        <v>1243.3089668600694</v>
      </c>
      <c r="D276" s="50">
        <f t="shared" si="13"/>
        <v>843.07965802184913</v>
      </c>
      <c r="E276" s="50"/>
      <c r="F276" s="50"/>
      <c r="G276" s="50"/>
      <c r="H276" s="51">
        <f t="shared" si="14"/>
        <v>23</v>
      </c>
      <c r="I276" s="40"/>
    </row>
    <row r="277" spans="1:9" ht="12" customHeight="1">
      <c r="A277" s="49">
        <v>273</v>
      </c>
      <c r="B277" s="49"/>
      <c r="C277" s="50">
        <f t="shared" si="12"/>
        <v>1250.5616025000866</v>
      </c>
      <c r="D277" s="50">
        <f t="shared" si="13"/>
        <v>835.82702238183208</v>
      </c>
      <c r="E277" s="50"/>
      <c r="F277" s="50"/>
      <c r="G277" s="50"/>
      <c r="H277" s="51">
        <f t="shared" si="14"/>
        <v>23</v>
      </c>
      <c r="I277" s="40"/>
    </row>
    <row r="278" spans="1:9" ht="12" customHeight="1">
      <c r="A278" s="49">
        <v>274</v>
      </c>
      <c r="B278" s="49"/>
      <c r="C278" s="50">
        <f t="shared" si="12"/>
        <v>1257.856545181337</v>
      </c>
      <c r="D278" s="50">
        <f t="shared" si="13"/>
        <v>828.53207970058156</v>
      </c>
      <c r="E278" s="50"/>
      <c r="F278" s="50"/>
      <c r="G278" s="50"/>
      <c r="H278" s="51">
        <f t="shared" si="14"/>
        <v>23</v>
      </c>
      <c r="I278" s="40"/>
    </row>
    <row r="279" spans="1:9" ht="12" customHeight="1">
      <c r="A279" s="49">
        <v>275</v>
      </c>
      <c r="B279" s="49"/>
      <c r="C279" s="50">
        <f t="shared" si="12"/>
        <v>1265.1940416948951</v>
      </c>
      <c r="D279" s="50">
        <f t="shared" si="13"/>
        <v>821.19458318702357</v>
      </c>
      <c r="E279" s="50"/>
      <c r="F279" s="50"/>
      <c r="G279" s="50"/>
      <c r="H279" s="51">
        <f t="shared" si="14"/>
        <v>23</v>
      </c>
      <c r="I279" s="40"/>
    </row>
    <row r="280" spans="1:9" s="56" customFormat="1" ht="12" customHeight="1">
      <c r="A280" s="46">
        <v>276</v>
      </c>
      <c r="B280" s="46"/>
      <c r="C280" s="47">
        <f t="shared" si="12"/>
        <v>1272.5743402714484</v>
      </c>
      <c r="D280" s="47">
        <f t="shared" si="13"/>
        <v>813.81428461047005</v>
      </c>
      <c r="E280" s="47">
        <f>C1-SUM(C4:C280)</f>
        <v>138238.44587866624</v>
      </c>
      <c r="F280" s="47">
        <f>SUM(C5:C280)</f>
        <v>175361.55412133376</v>
      </c>
      <c r="G280" s="47">
        <f>SUM(C269:C280)</f>
        <v>14793.087089371578</v>
      </c>
      <c r="H280" s="48">
        <f t="shared" si="14"/>
        <v>23</v>
      </c>
      <c r="I280" s="55"/>
    </row>
    <row r="281" spans="1:9" ht="12" customHeight="1">
      <c r="A281" s="43">
        <v>277</v>
      </c>
      <c r="B281" s="43"/>
      <c r="C281" s="44">
        <f t="shared" si="12"/>
        <v>1279.9976905896985</v>
      </c>
      <c r="D281" s="44">
        <f t="shared" si="13"/>
        <v>806.39093429221998</v>
      </c>
      <c r="E281" s="44"/>
      <c r="F281" s="44"/>
      <c r="G281" s="44"/>
      <c r="H281" s="45">
        <f t="shared" si="14"/>
        <v>24</v>
      </c>
      <c r="I281" s="40"/>
    </row>
    <row r="282" spans="1:9" ht="12" customHeight="1">
      <c r="A282" s="43">
        <v>278</v>
      </c>
      <c r="B282" s="43"/>
      <c r="C282" s="44">
        <f t="shared" si="12"/>
        <v>1287.4643437848049</v>
      </c>
      <c r="D282" s="44">
        <f t="shared" si="13"/>
        <v>798.92428109711364</v>
      </c>
      <c r="E282" s="44"/>
      <c r="F282" s="44"/>
      <c r="G282" s="44"/>
      <c r="H282" s="45">
        <f t="shared" si="14"/>
        <v>24</v>
      </c>
      <c r="I282" s="40"/>
    </row>
    <row r="283" spans="1:9" ht="12" customHeight="1">
      <c r="A283" s="43">
        <v>279</v>
      </c>
      <c r="B283" s="43"/>
      <c r="C283" s="44">
        <f t="shared" si="12"/>
        <v>1294.9745524568832</v>
      </c>
      <c r="D283" s="44">
        <f t="shared" si="13"/>
        <v>791.41407242503533</v>
      </c>
      <c r="E283" s="44"/>
      <c r="F283" s="44"/>
      <c r="G283" s="44"/>
      <c r="H283" s="45">
        <f t="shared" si="14"/>
        <v>24</v>
      </c>
      <c r="I283" s="40"/>
    </row>
    <row r="284" spans="1:9" ht="12" customHeight="1">
      <c r="A284" s="43">
        <v>280</v>
      </c>
      <c r="B284" s="43"/>
      <c r="C284" s="44">
        <f t="shared" si="12"/>
        <v>1302.5285706795482</v>
      </c>
      <c r="D284" s="44">
        <f t="shared" si="13"/>
        <v>783.86005420237029</v>
      </c>
      <c r="E284" s="44"/>
      <c r="F284" s="44"/>
      <c r="G284" s="44"/>
      <c r="H284" s="45">
        <f t="shared" si="14"/>
        <v>24</v>
      </c>
      <c r="I284" s="40"/>
    </row>
    <row r="285" spans="1:9" ht="12" customHeight="1">
      <c r="A285" s="43">
        <v>281</v>
      </c>
      <c r="B285" s="43"/>
      <c r="C285" s="44">
        <f t="shared" si="12"/>
        <v>1310.1266540085123</v>
      </c>
      <c r="D285" s="44">
        <f t="shared" si="13"/>
        <v>776.26197087340631</v>
      </c>
      <c r="E285" s="44"/>
      <c r="F285" s="44"/>
      <c r="G285" s="44"/>
      <c r="H285" s="45">
        <f t="shared" si="14"/>
        <v>24</v>
      </c>
      <c r="I285" s="40"/>
    </row>
    <row r="286" spans="1:9" ht="12" customHeight="1">
      <c r="A286" s="43">
        <v>282</v>
      </c>
      <c r="B286" s="43"/>
      <c r="C286" s="44">
        <f t="shared" si="12"/>
        <v>1317.7690594902288</v>
      </c>
      <c r="D286" s="44">
        <f t="shared" si="13"/>
        <v>768.61956539168989</v>
      </c>
      <c r="E286" s="44"/>
      <c r="F286" s="44"/>
      <c r="G286" s="44"/>
      <c r="H286" s="45">
        <f t="shared" si="14"/>
        <v>24</v>
      </c>
      <c r="I286" s="40"/>
    </row>
    <row r="287" spans="1:9" ht="12" customHeight="1">
      <c r="A287" s="43">
        <v>283</v>
      </c>
      <c r="B287" s="43"/>
      <c r="C287" s="44">
        <f t="shared" si="12"/>
        <v>1325.4560456705883</v>
      </c>
      <c r="D287" s="44">
        <f t="shared" si="13"/>
        <v>760.93257921133022</v>
      </c>
      <c r="E287" s="44"/>
      <c r="F287" s="44"/>
      <c r="G287" s="44"/>
      <c r="H287" s="45">
        <f t="shared" si="14"/>
        <v>24</v>
      </c>
      <c r="I287" s="40"/>
    </row>
    <row r="288" spans="1:9" ht="12" customHeight="1">
      <c r="A288" s="43">
        <v>284</v>
      </c>
      <c r="B288" s="43"/>
      <c r="C288" s="44">
        <f t="shared" si="12"/>
        <v>1333.1878726036668</v>
      </c>
      <c r="D288" s="44">
        <f t="shared" si="13"/>
        <v>753.2007522782518</v>
      </c>
      <c r="E288" s="44"/>
      <c r="F288" s="44"/>
      <c r="G288" s="44"/>
      <c r="H288" s="45">
        <f t="shared" si="14"/>
        <v>24</v>
      </c>
      <c r="I288" s="40"/>
    </row>
    <row r="289" spans="1:9" ht="12" customHeight="1">
      <c r="A289" s="43">
        <v>285</v>
      </c>
      <c r="B289" s="43"/>
      <c r="C289" s="44">
        <f t="shared" si="12"/>
        <v>1340.9648018605214</v>
      </c>
      <c r="D289" s="44">
        <f t="shared" si="13"/>
        <v>745.42382302139697</v>
      </c>
      <c r="E289" s="44"/>
      <c r="F289" s="44"/>
      <c r="G289" s="44"/>
      <c r="H289" s="45">
        <f t="shared" si="14"/>
        <v>24</v>
      </c>
      <c r="I289" s="40"/>
    </row>
    <row r="290" spans="1:9" ht="12" customHeight="1">
      <c r="A290" s="43">
        <v>286</v>
      </c>
      <c r="B290" s="43"/>
      <c r="C290" s="44">
        <f t="shared" si="12"/>
        <v>1348.7870965380412</v>
      </c>
      <c r="D290" s="44">
        <f t="shared" si="13"/>
        <v>737.60152834387725</v>
      </c>
      <c r="E290" s="44"/>
      <c r="F290" s="44"/>
      <c r="G290" s="44"/>
      <c r="H290" s="45">
        <f t="shared" si="14"/>
        <v>24</v>
      </c>
      <c r="I290" s="40"/>
    </row>
    <row r="291" spans="1:9" ht="12" customHeight="1">
      <c r="A291" s="43">
        <v>287</v>
      </c>
      <c r="B291" s="43"/>
      <c r="C291" s="44">
        <f t="shared" si="12"/>
        <v>1356.6550212678465</v>
      </c>
      <c r="D291" s="44">
        <f t="shared" si="13"/>
        <v>729.73360361407208</v>
      </c>
      <c r="E291" s="44"/>
      <c r="F291" s="44"/>
      <c r="G291" s="44"/>
      <c r="H291" s="45">
        <f t="shared" si="14"/>
        <v>24</v>
      </c>
      <c r="I291" s="40"/>
    </row>
    <row r="292" spans="1:9" s="56" customFormat="1" ht="12" customHeight="1">
      <c r="A292" s="46">
        <v>288</v>
      </c>
      <c r="B292" s="46"/>
      <c r="C292" s="47">
        <f t="shared" si="12"/>
        <v>1364.5688422252422</v>
      </c>
      <c r="D292" s="47">
        <f t="shared" si="13"/>
        <v>721.81978265667635</v>
      </c>
      <c r="E292" s="47">
        <f>C1-SUM(C4:C292)</f>
        <v>122375.96532749067</v>
      </c>
      <c r="F292" s="47">
        <f>SUM(C5:C292)</f>
        <v>191224.03467250933</v>
      </c>
      <c r="G292" s="47">
        <f>SUM(C281:C292)</f>
        <v>15862.480551175584</v>
      </c>
      <c r="H292" s="48">
        <f t="shared" si="14"/>
        <v>24</v>
      </c>
      <c r="I292" s="55"/>
    </row>
    <row r="293" spans="1:9" ht="12" customHeight="1">
      <c r="A293" s="49">
        <v>289</v>
      </c>
      <c r="B293" s="49"/>
      <c r="C293" s="50">
        <f t="shared" si="12"/>
        <v>1372.5288271382228</v>
      </c>
      <c r="D293" s="50">
        <f t="shared" si="13"/>
        <v>713.85979774369582</v>
      </c>
      <c r="E293" s="50"/>
      <c r="F293" s="50"/>
      <c r="G293" s="50"/>
      <c r="H293" s="51">
        <f t="shared" si="14"/>
        <v>25</v>
      </c>
      <c r="I293" s="40"/>
    </row>
    <row r="294" spans="1:9" ht="12" customHeight="1">
      <c r="A294" s="49">
        <v>290</v>
      </c>
      <c r="B294" s="49"/>
      <c r="C294" s="50">
        <f t="shared" si="12"/>
        <v>1380.535245296529</v>
      </c>
      <c r="D294" s="50">
        <f t="shared" si="13"/>
        <v>705.85337958538946</v>
      </c>
      <c r="E294" s="50"/>
      <c r="F294" s="50"/>
      <c r="G294" s="50"/>
      <c r="H294" s="51">
        <f t="shared" si="14"/>
        <v>25</v>
      </c>
      <c r="I294" s="40"/>
    </row>
    <row r="295" spans="1:9" ht="12" customHeight="1">
      <c r="A295" s="49">
        <v>291</v>
      </c>
      <c r="B295" s="49"/>
      <c r="C295" s="50">
        <f t="shared" si="12"/>
        <v>1388.5883675607588</v>
      </c>
      <c r="D295" s="50">
        <f t="shared" si="13"/>
        <v>697.80025732115973</v>
      </c>
      <c r="E295" s="50"/>
      <c r="F295" s="50"/>
      <c r="G295" s="50"/>
      <c r="H295" s="51">
        <f t="shared" si="14"/>
        <v>25</v>
      </c>
      <c r="I295" s="40"/>
    </row>
    <row r="296" spans="1:9" ht="12" customHeight="1">
      <c r="A296" s="49">
        <v>292</v>
      </c>
      <c r="B296" s="49"/>
      <c r="C296" s="50">
        <f t="shared" si="12"/>
        <v>1396.6884663715298</v>
      </c>
      <c r="D296" s="50">
        <f t="shared" si="13"/>
        <v>689.70015851038875</v>
      </c>
      <c r="E296" s="50"/>
      <c r="F296" s="50"/>
      <c r="G296" s="50"/>
      <c r="H296" s="51">
        <f t="shared" si="14"/>
        <v>25</v>
      </c>
      <c r="I296" s="40"/>
    </row>
    <row r="297" spans="1:9" ht="12" customHeight="1">
      <c r="A297" s="49">
        <v>293</v>
      </c>
      <c r="B297" s="49"/>
      <c r="C297" s="50">
        <f t="shared" si="12"/>
        <v>1404.835815758697</v>
      </c>
      <c r="D297" s="50">
        <f t="shared" si="13"/>
        <v>681.55280912322132</v>
      </c>
      <c r="E297" s="50"/>
      <c r="F297" s="50"/>
      <c r="G297" s="50"/>
      <c r="H297" s="51">
        <f t="shared" si="14"/>
        <v>25</v>
      </c>
      <c r="I297" s="40"/>
    </row>
    <row r="298" spans="1:9" ht="12" customHeight="1">
      <c r="A298" s="49">
        <v>294</v>
      </c>
      <c r="B298" s="49"/>
      <c r="C298" s="50">
        <f t="shared" si="12"/>
        <v>1413.0306913506229</v>
      </c>
      <c r="D298" s="50">
        <f t="shared" si="13"/>
        <v>673.35793353129554</v>
      </c>
      <c r="E298" s="50"/>
      <c r="F298" s="50"/>
      <c r="G298" s="50"/>
      <c r="H298" s="51">
        <f t="shared" si="14"/>
        <v>25</v>
      </c>
      <c r="I298" s="40"/>
    </row>
    <row r="299" spans="1:9" ht="12" customHeight="1">
      <c r="A299" s="49">
        <v>295</v>
      </c>
      <c r="B299" s="49"/>
      <c r="C299" s="50">
        <f t="shared" si="12"/>
        <v>1421.2733703835015</v>
      </c>
      <c r="D299" s="50">
        <f t="shared" si="13"/>
        <v>665.11525449841702</v>
      </c>
      <c r="E299" s="50"/>
      <c r="F299" s="50"/>
      <c r="G299" s="50"/>
      <c r="H299" s="51">
        <f t="shared" si="14"/>
        <v>25</v>
      </c>
      <c r="I299" s="40"/>
    </row>
    <row r="300" spans="1:9" ht="12" customHeight="1">
      <c r="A300" s="49">
        <v>296</v>
      </c>
      <c r="B300" s="49"/>
      <c r="C300" s="50">
        <f t="shared" si="12"/>
        <v>1429.5641317107386</v>
      </c>
      <c r="D300" s="50">
        <f t="shared" si="13"/>
        <v>656.82449317117982</v>
      </c>
      <c r="E300" s="50"/>
      <c r="F300" s="50"/>
      <c r="G300" s="50"/>
      <c r="H300" s="51">
        <f t="shared" si="14"/>
        <v>25</v>
      </c>
      <c r="I300" s="40"/>
    </row>
    <row r="301" spans="1:9" ht="12" customHeight="1">
      <c r="A301" s="49">
        <v>297</v>
      </c>
      <c r="B301" s="49"/>
      <c r="C301" s="50">
        <f t="shared" si="12"/>
        <v>1437.9032558123847</v>
      </c>
      <c r="D301" s="50">
        <f t="shared" si="13"/>
        <v>648.48536906953393</v>
      </c>
      <c r="E301" s="50"/>
      <c r="F301" s="50"/>
      <c r="G301" s="50"/>
      <c r="H301" s="51">
        <f t="shared" si="14"/>
        <v>25</v>
      </c>
      <c r="I301" s="40"/>
    </row>
    <row r="302" spans="1:9" ht="12" customHeight="1">
      <c r="A302" s="49">
        <v>298</v>
      </c>
      <c r="B302" s="49"/>
      <c r="C302" s="50">
        <f t="shared" si="12"/>
        <v>1446.2910248046235</v>
      </c>
      <c r="D302" s="50">
        <f t="shared" si="13"/>
        <v>640.09760007729517</v>
      </c>
      <c r="E302" s="50"/>
      <c r="F302" s="50"/>
      <c r="G302" s="50"/>
      <c r="H302" s="51">
        <f t="shared" si="14"/>
        <v>25</v>
      </c>
      <c r="I302" s="40"/>
    </row>
    <row r="303" spans="1:9" ht="12" customHeight="1">
      <c r="A303" s="49">
        <v>299</v>
      </c>
      <c r="B303" s="49"/>
      <c r="C303" s="50">
        <f t="shared" si="12"/>
        <v>1454.7277224493171</v>
      </c>
      <c r="D303" s="50">
        <f t="shared" si="13"/>
        <v>631.66090243260135</v>
      </c>
      <c r="E303" s="50"/>
      <c r="F303" s="50"/>
      <c r="G303" s="50"/>
      <c r="H303" s="51">
        <f t="shared" si="14"/>
        <v>25</v>
      </c>
      <c r="I303" s="40"/>
    </row>
    <row r="304" spans="1:9" s="56" customFormat="1" ht="12" customHeight="1">
      <c r="A304" s="46">
        <v>300</v>
      </c>
      <c r="B304" s="46"/>
      <c r="C304" s="47">
        <f t="shared" si="12"/>
        <v>1463.2136341636049</v>
      </c>
      <c r="D304" s="47">
        <f t="shared" si="13"/>
        <v>623.17499071831367</v>
      </c>
      <c r="E304" s="47">
        <f>C1-SUM(C4:C304)</f>
        <v>105366.78477469014</v>
      </c>
      <c r="F304" s="47">
        <f>SUM(C5:C304)</f>
        <v>208233.21522530986</v>
      </c>
      <c r="G304" s="47">
        <f>SUM(C293:C304)</f>
        <v>17009.180552800532</v>
      </c>
      <c r="H304" s="48">
        <f t="shared" si="14"/>
        <v>25</v>
      </c>
      <c r="I304" s="55"/>
    </row>
    <row r="305" spans="1:9" ht="12" customHeight="1">
      <c r="A305" s="43">
        <v>301</v>
      </c>
      <c r="B305" s="43"/>
      <c r="C305" s="44">
        <f t="shared" si="12"/>
        <v>1471.7490470295591</v>
      </c>
      <c r="D305" s="44">
        <f t="shared" si="13"/>
        <v>614.63957785235937</v>
      </c>
      <c r="E305" s="44"/>
      <c r="F305" s="44"/>
      <c r="G305" s="44"/>
      <c r="H305" s="45">
        <f t="shared" si="14"/>
        <v>26</v>
      </c>
      <c r="I305" s="40"/>
    </row>
    <row r="306" spans="1:9" ht="12" customHeight="1">
      <c r="A306" s="43">
        <v>302</v>
      </c>
      <c r="B306" s="43"/>
      <c r="C306" s="44">
        <f t="shared" si="12"/>
        <v>1480.334249803898</v>
      </c>
      <c r="D306" s="44">
        <f t="shared" si="13"/>
        <v>606.05437507802026</v>
      </c>
      <c r="E306" s="44"/>
      <c r="F306" s="44"/>
      <c r="G306" s="44"/>
      <c r="H306" s="45">
        <f t="shared" si="14"/>
        <v>26</v>
      </c>
      <c r="I306" s="40"/>
    </row>
    <row r="307" spans="1:9" ht="12" customHeight="1">
      <c r="A307" s="43">
        <v>303</v>
      </c>
      <c r="B307" s="43"/>
      <c r="C307" s="44">
        <f t="shared" si="12"/>
        <v>1488.9695329277542</v>
      </c>
      <c r="D307" s="44">
        <f t="shared" si="13"/>
        <v>597.41909195416417</v>
      </c>
      <c r="E307" s="44"/>
      <c r="F307" s="44"/>
      <c r="G307" s="44"/>
      <c r="H307" s="45">
        <f t="shared" si="14"/>
        <v>26</v>
      </c>
      <c r="I307" s="40"/>
    </row>
    <row r="308" spans="1:9" ht="12" customHeight="1">
      <c r="A308" s="43">
        <v>304</v>
      </c>
      <c r="B308" s="43"/>
      <c r="C308" s="44">
        <f t="shared" si="12"/>
        <v>1497.6551885364995</v>
      </c>
      <c r="D308" s="44">
        <f t="shared" si="13"/>
        <v>588.73343634541891</v>
      </c>
      <c r="E308" s="44"/>
      <c r="F308" s="44"/>
      <c r="G308" s="44"/>
      <c r="H308" s="45">
        <f t="shared" si="14"/>
        <v>26</v>
      </c>
      <c r="I308" s="40"/>
    </row>
    <row r="309" spans="1:9" ht="12" customHeight="1">
      <c r="A309" s="43">
        <v>305</v>
      </c>
      <c r="B309" s="43"/>
      <c r="C309" s="44">
        <f t="shared" si="12"/>
        <v>1506.3915104696291</v>
      </c>
      <c r="D309" s="44">
        <f t="shared" si="13"/>
        <v>579.99711441228942</v>
      </c>
      <c r="E309" s="44"/>
      <c r="F309" s="44"/>
      <c r="G309" s="44"/>
      <c r="H309" s="45">
        <f t="shared" si="14"/>
        <v>26</v>
      </c>
      <c r="I309" s="40"/>
    </row>
    <row r="310" spans="1:9" ht="12" customHeight="1">
      <c r="A310" s="43">
        <v>306</v>
      </c>
      <c r="B310" s="43"/>
      <c r="C310" s="44">
        <f t="shared" si="12"/>
        <v>1515.1787942807018</v>
      </c>
      <c r="D310" s="44">
        <f t="shared" si="13"/>
        <v>571.20983060121648</v>
      </c>
      <c r="E310" s="44"/>
      <c r="F310" s="44"/>
      <c r="G310" s="44"/>
      <c r="H310" s="45">
        <f t="shared" si="14"/>
        <v>26</v>
      </c>
      <c r="I310" s="40"/>
    </row>
    <row r="311" spans="1:9" ht="12" customHeight="1">
      <c r="A311" s="43">
        <v>307</v>
      </c>
      <c r="B311" s="43"/>
      <c r="C311" s="44">
        <f t="shared" si="12"/>
        <v>1524.0173372473396</v>
      </c>
      <c r="D311" s="44">
        <f t="shared" si="13"/>
        <v>562.37128763457906</v>
      </c>
      <c r="E311" s="44"/>
      <c r="F311" s="44"/>
      <c r="G311" s="44"/>
      <c r="H311" s="45">
        <f t="shared" si="14"/>
        <v>26</v>
      </c>
      <c r="I311" s="40"/>
    </row>
    <row r="312" spans="1:9" ht="12" customHeight="1">
      <c r="A312" s="43">
        <v>308</v>
      </c>
      <c r="B312" s="43"/>
      <c r="C312" s="44">
        <f t="shared" si="12"/>
        <v>1532.9074383812822</v>
      </c>
      <c r="D312" s="44">
        <f t="shared" si="13"/>
        <v>553.48118650063634</v>
      </c>
      <c r="E312" s="44"/>
      <c r="F312" s="44"/>
      <c r="G312" s="44"/>
      <c r="H312" s="45">
        <f t="shared" si="14"/>
        <v>26</v>
      </c>
      <c r="I312" s="40"/>
    </row>
    <row r="313" spans="1:9" ht="12" customHeight="1">
      <c r="A313" s="43">
        <v>309</v>
      </c>
      <c r="B313" s="43"/>
      <c r="C313" s="44">
        <f t="shared" si="12"/>
        <v>1541.8493984385063</v>
      </c>
      <c r="D313" s="44">
        <f t="shared" si="13"/>
        <v>544.53922644341219</v>
      </c>
      <c r="E313" s="44"/>
      <c r="F313" s="44"/>
      <c r="G313" s="44"/>
      <c r="H313" s="45">
        <f t="shared" si="14"/>
        <v>26</v>
      </c>
      <c r="I313" s="40"/>
    </row>
    <row r="314" spans="1:9" ht="12" customHeight="1">
      <c r="A314" s="43">
        <v>310</v>
      </c>
      <c r="B314" s="43"/>
      <c r="C314" s="44">
        <f t="shared" si="12"/>
        <v>1550.8435199293976</v>
      </c>
      <c r="D314" s="44">
        <f t="shared" si="13"/>
        <v>535.54510495252089</v>
      </c>
      <c r="E314" s="44"/>
      <c r="F314" s="44"/>
      <c r="G314" s="44"/>
      <c r="H314" s="45">
        <f t="shared" si="14"/>
        <v>26</v>
      </c>
      <c r="I314" s="40"/>
    </row>
    <row r="315" spans="1:9" ht="12" customHeight="1">
      <c r="A315" s="43">
        <v>311</v>
      </c>
      <c r="B315" s="43"/>
      <c r="C315" s="44">
        <f t="shared" si="12"/>
        <v>1559.8901071289858</v>
      </c>
      <c r="D315" s="44">
        <f t="shared" si="13"/>
        <v>526.49851775293268</v>
      </c>
      <c r="E315" s="44"/>
      <c r="F315" s="44"/>
      <c r="G315" s="44"/>
      <c r="H315" s="45">
        <f t="shared" si="14"/>
        <v>26</v>
      </c>
      <c r="I315" s="40"/>
    </row>
    <row r="316" spans="1:9" s="56" customFormat="1" ht="12" customHeight="1">
      <c r="A316" s="46">
        <v>312</v>
      </c>
      <c r="B316" s="46"/>
      <c r="C316" s="47">
        <f t="shared" si="12"/>
        <v>1568.9894660872383</v>
      </c>
      <c r="D316" s="47">
        <f t="shared" si="13"/>
        <v>517.39915879468015</v>
      </c>
      <c r="E316" s="47">
        <f>C1-SUM(C4:C316)</f>
        <v>87128.009184429335</v>
      </c>
      <c r="F316" s="47">
        <f>SUM(C5:C316)</f>
        <v>226471.99081557067</v>
      </c>
      <c r="G316" s="47">
        <f>SUM(C305:C316)</f>
        <v>18238.775590260793</v>
      </c>
      <c r="H316" s="48">
        <f t="shared" si="14"/>
        <v>26</v>
      </c>
      <c r="I316" s="55"/>
    </row>
    <row r="317" spans="1:9" ht="12" customHeight="1">
      <c r="A317" s="49">
        <v>313</v>
      </c>
      <c r="B317" s="49"/>
      <c r="C317" s="50">
        <f t="shared" si="12"/>
        <v>1578.141904639414</v>
      </c>
      <c r="D317" s="50">
        <f t="shared" si="13"/>
        <v>508.24672024250475</v>
      </c>
      <c r="E317" s="50"/>
      <c r="F317" s="50"/>
      <c r="G317" s="50"/>
      <c r="H317" s="51">
        <f t="shared" si="14"/>
        <v>27</v>
      </c>
      <c r="I317" s="40"/>
    </row>
    <row r="318" spans="1:9" ht="12" customHeight="1">
      <c r="A318" s="49">
        <v>314</v>
      </c>
      <c r="B318" s="49"/>
      <c r="C318" s="50">
        <f t="shared" si="12"/>
        <v>1587.3477324164769</v>
      </c>
      <c r="D318" s="50">
        <f t="shared" si="13"/>
        <v>499.04089246544146</v>
      </c>
      <c r="E318" s="50"/>
      <c r="F318" s="50"/>
      <c r="G318" s="50"/>
      <c r="H318" s="51">
        <f t="shared" si="14"/>
        <v>27</v>
      </c>
      <c r="I318" s="40"/>
    </row>
    <row r="319" spans="1:9" ht="12" customHeight="1">
      <c r="A319" s="49">
        <v>315</v>
      </c>
      <c r="B319" s="49"/>
      <c r="C319" s="50">
        <f t="shared" si="12"/>
        <v>1596.6072608555733</v>
      </c>
      <c r="D319" s="50">
        <f t="shared" si="13"/>
        <v>489.78136402634539</v>
      </c>
      <c r="E319" s="50"/>
      <c r="F319" s="50"/>
      <c r="G319" s="50"/>
      <c r="H319" s="51">
        <f t="shared" si="14"/>
        <v>27</v>
      </c>
      <c r="I319" s="40"/>
    </row>
    <row r="320" spans="1:9" ht="12" customHeight="1">
      <c r="A320" s="49">
        <v>316</v>
      </c>
      <c r="B320" s="49"/>
      <c r="C320" s="50">
        <f t="shared" si="12"/>
        <v>1605.9208032105641</v>
      </c>
      <c r="D320" s="50">
        <f t="shared" si="13"/>
        <v>480.4678216713545</v>
      </c>
      <c r="E320" s="50"/>
      <c r="F320" s="50"/>
      <c r="G320" s="50"/>
      <c r="H320" s="51">
        <f t="shared" si="14"/>
        <v>27</v>
      </c>
      <c r="I320" s="40"/>
    </row>
    <row r="321" spans="1:9" ht="12" customHeight="1">
      <c r="A321" s="49">
        <v>317</v>
      </c>
      <c r="B321" s="49"/>
      <c r="C321" s="50">
        <f t="shared" si="12"/>
        <v>1615.2886745626254</v>
      </c>
      <c r="D321" s="50">
        <f t="shared" si="13"/>
        <v>471.09995031929293</v>
      </c>
      <c r="E321" s="50"/>
      <c r="F321" s="50"/>
      <c r="G321" s="50"/>
      <c r="H321" s="51">
        <f t="shared" si="14"/>
        <v>27</v>
      </c>
      <c r="I321" s="40"/>
    </row>
    <row r="322" spans="1:9" ht="12" customHeight="1">
      <c r="A322" s="49">
        <v>318</v>
      </c>
      <c r="B322" s="49"/>
      <c r="C322" s="50">
        <f t="shared" si="12"/>
        <v>1624.7111918309079</v>
      </c>
      <c r="D322" s="50">
        <f t="shared" si="13"/>
        <v>461.67743305101089</v>
      </c>
      <c r="E322" s="50"/>
      <c r="F322" s="50"/>
      <c r="G322" s="50"/>
      <c r="H322" s="51">
        <f t="shared" si="14"/>
        <v>27</v>
      </c>
      <c r="I322" s="40"/>
    </row>
    <row r="323" spans="1:9" ht="12" customHeight="1">
      <c r="A323" s="49">
        <v>319</v>
      </c>
      <c r="B323" s="49"/>
      <c r="C323" s="50">
        <f t="shared" si="12"/>
        <v>1634.1886737832547</v>
      </c>
      <c r="D323" s="50">
        <f t="shared" si="13"/>
        <v>452.19995109866397</v>
      </c>
      <c r="E323" s="50"/>
      <c r="F323" s="50"/>
      <c r="G323" s="50"/>
      <c r="H323" s="51">
        <f t="shared" si="14"/>
        <v>27</v>
      </c>
      <c r="I323" s="40"/>
    </row>
    <row r="324" spans="1:9" ht="12" customHeight="1">
      <c r="A324" s="49">
        <v>320</v>
      </c>
      <c r="B324" s="49"/>
      <c r="C324" s="50">
        <f t="shared" si="12"/>
        <v>1643.7214410469903</v>
      </c>
      <c r="D324" s="50">
        <f t="shared" si="13"/>
        <v>442.66718383492832</v>
      </c>
      <c r="E324" s="50"/>
      <c r="F324" s="50"/>
      <c r="G324" s="50"/>
      <c r="H324" s="51">
        <f t="shared" si="14"/>
        <v>27</v>
      </c>
      <c r="I324" s="40"/>
    </row>
    <row r="325" spans="1:9" ht="12" customHeight="1">
      <c r="A325" s="49">
        <v>321</v>
      </c>
      <c r="B325" s="49"/>
      <c r="C325" s="50">
        <f t="shared" ref="C325:C364" si="15">PPMT(C$2/12,A325,C$3,C$1*-1)</f>
        <v>1653.3098161197643</v>
      </c>
      <c r="D325" s="50">
        <f t="shared" ref="D325:D364" si="16">IPMT(C$2/12,A325,C$3,C$1*-1)</f>
        <v>433.07880876215421</v>
      </c>
      <c r="E325" s="50"/>
      <c r="F325" s="50"/>
      <c r="G325" s="50"/>
      <c r="H325" s="51">
        <f t="shared" ref="H325:H364" si="17">ROUNDUP(A325/12,0)</f>
        <v>27</v>
      </c>
      <c r="I325" s="40"/>
    </row>
    <row r="326" spans="1:9" ht="12" customHeight="1">
      <c r="A326" s="49">
        <v>322</v>
      </c>
      <c r="B326" s="49"/>
      <c r="C326" s="50">
        <f t="shared" si="15"/>
        <v>1662.9541233804632</v>
      </c>
      <c r="D326" s="50">
        <f t="shared" si="16"/>
        <v>423.43450150145554</v>
      </c>
      <c r="E326" s="50"/>
      <c r="F326" s="50"/>
      <c r="G326" s="50"/>
      <c r="H326" s="51">
        <f t="shared" si="17"/>
        <v>27</v>
      </c>
      <c r="I326" s="40"/>
    </row>
    <row r="327" spans="1:9" ht="12" customHeight="1">
      <c r="A327" s="49">
        <v>323</v>
      </c>
      <c r="B327" s="49"/>
      <c r="C327" s="50">
        <f t="shared" si="15"/>
        <v>1672.6546891001822</v>
      </c>
      <c r="D327" s="50">
        <f t="shared" si="16"/>
        <v>413.73393578173614</v>
      </c>
      <c r="E327" s="50"/>
      <c r="F327" s="50"/>
      <c r="G327" s="50"/>
      <c r="H327" s="51">
        <f t="shared" si="17"/>
        <v>27</v>
      </c>
      <c r="I327" s="40"/>
    </row>
    <row r="328" spans="1:9" s="56" customFormat="1" ht="12" customHeight="1">
      <c r="A328" s="46">
        <v>324</v>
      </c>
      <c r="B328" s="46"/>
      <c r="C328" s="47">
        <f t="shared" si="15"/>
        <v>1682.4118414532668</v>
      </c>
      <c r="D328" s="47">
        <f t="shared" si="16"/>
        <v>403.9767834286518</v>
      </c>
      <c r="E328" s="47">
        <f>C1-SUM(C4:C328)</f>
        <v>67570.751032029861</v>
      </c>
      <c r="F328" s="47">
        <f>SUM(C5:C328)</f>
        <v>246029.24896797014</v>
      </c>
      <c r="G328" s="47">
        <f>SUM(C317:C328)</f>
        <v>19557.258152399485</v>
      </c>
      <c r="H328" s="48">
        <f t="shared" si="17"/>
        <v>27</v>
      </c>
      <c r="I328" s="55"/>
    </row>
    <row r="329" spans="1:9" ht="12" customHeight="1">
      <c r="A329" s="43">
        <v>325</v>
      </c>
      <c r="B329" s="43"/>
      <c r="C329" s="44">
        <f t="shared" si="15"/>
        <v>1692.2259105284106</v>
      </c>
      <c r="D329" s="44">
        <f t="shared" si="16"/>
        <v>394.16271435350779</v>
      </c>
      <c r="E329" s="44"/>
      <c r="F329" s="44"/>
      <c r="G329" s="44"/>
      <c r="H329" s="45">
        <f t="shared" si="17"/>
        <v>28</v>
      </c>
      <c r="I329" s="40"/>
    </row>
    <row r="330" spans="1:9" ht="12" customHeight="1">
      <c r="A330" s="43">
        <v>326</v>
      </c>
      <c r="B330" s="43"/>
      <c r="C330" s="44">
        <f t="shared" si="15"/>
        <v>1702.0972283398266</v>
      </c>
      <c r="D330" s="44">
        <f t="shared" si="16"/>
        <v>384.291396542092</v>
      </c>
      <c r="E330" s="44"/>
      <c r="F330" s="44"/>
      <c r="G330" s="44"/>
      <c r="H330" s="45">
        <f t="shared" si="17"/>
        <v>28</v>
      </c>
      <c r="I330" s="40"/>
    </row>
    <row r="331" spans="1:9" ht="12" customHeight="1">
      <c r="A331" s="43">
        <v>327</v>
      </c>
      <c r="B331" s="43"/>
      <c r="C331" s="44">
        <f t="shared" si="15"/>
        <v>1712.0261288384756</v>
      </c>
      <c r="D331" s="44">
        <f t="shared" si="16"/>
        <v>374.36249604344306</v>
      </c>
      <c r="E331" s="44"/>
      <c r="F331" s="44"/>
      <c r="G331" s="44"/>
      <c r="H331" s="45">
        <f t="shared" si="17"/>
        <v>28</v>
      </c>
      <c r="I331" s="40"/>
    </row>
    <row r="332" spans="1:9" ht="12" customHeight="1">
      <c r="A332" s="43">
        <v>328</v>
      </c>
      <c r="B332" s="43"/>
      <c r="C332" s="44">
        <f t="shared" si="15"/>
        <v>1722.0129479233667</v>
      </c>
      <c r="D332" s="44">
        <f t="shared" si="16"/>
        <v>364.37567695855188</v>
      </c>
      <c r="E332" s="44"/>
      <c r="F332" s="44"/>
      <c r="G332" s="44"/>
      <c r="H332" s="45">
        <f t="shared" si="17"/>
        <v>28</v>
      </c>
      <c r="I332" s="40"/>
    </row>
    <row r="333" spans="1:9" ht="12" customHeight="1">
      <c r="A333" s="43">
        <v>329</v>
      </c>
      <c r="B333" s="43"/>
      <c r="C333" s="44">
        <f t="shared" si="15"/>
        <v>1732.0580234529198</v>
      </c>
      <c r="D333" s="44">
        <f t="shared" si="16"/>
        <v>354.33060142899893</v>
      </c>
      <c r="E333" s="44"/>
      <c r="F333" s="44"/>
      <c r="G333" s="44"/>
      <c r="H333" s="45">
        <f t="shared" si="17"/>
        <v>28</v>
      </c>
      <c r="I333" s="40"/>
    </row>
    <row r="334" spans="1:9" ht="12" customHeight="1">
      <c r="A334" s="43">
        <v>330</v>
      </c>
      <c r="B334" s="43"/>
      <c r="C334" s="44">
        <f t="shared" si="15"/>
        <v>1742.161695256395</v>
      </c>
      <c r="D334" s="44">
        <f t="shared" si="16"/>
        <v>344.22692962552355</v>
      </c>
      <c r="E334" s="44"/>
      <c r="F334" s="44"/>
      <c r="G334" s="44"/>
      <c r="H334" s="45">
        <f t="shared" si="17"/>
        <v>28</v>
      </c>
      <c r="I334" s="40"/>
    </row>
    <row r="335" spans="1:9" ht="12" customHeight="1">
      <c r="A335" s="43">
        <v>331</v>
      </c>
      <c r="B335" s="43"/>
      <c r="C335" s="44">
        <f t="shared" si="15"/>
        <v>1752.3243051453906</v>
      </c>
      <c r="D335" s="44">
        <f t="shared" si="16"/>
        <v>334.06431973652792</v>
      </c>
      <c r="E335" s="44"/>
      <c r="F335" s="44"/>
      <c r="G335" s="44"/>
      <c r="H335" s="45">
        <f t="shared" si="17"/>
        <v>28</v>
      </c>
      <c r="I335" s="40"/>
    </row>
    <row r="336" spans="1:9" ht="12" customHeight="1">
      <c r="A336" s="43">
        <v>332</v>
      </c>
      <c r="B336" s="43"/>
      <c r="C336" s="44">
        <f t="shared" si="15"/>
        <v>1762.5461969254052</v>
      </c>
      <c r="D336" s="44">
        <f t="shared" si="16"/>
        <v>323.84242795651312</v>
      </c>
      <c r="E336" s="44"/>
      <c r="F336" s="44"/>
      <c r="G336" s="44"/>
      <c r="H336" s="45">
        <f t="shared" si="17"/>
        <v>28</v>
      </c>
      <c r="I336" s="40"/>
    </row>
    <row r="337" spans="1:9" ht="12" customHeight="1">
      <c r="A337" s="43">
        <v>333</v>
      </c>
      <c r="B337" s="43"/>
      <c r="C337" s="44">
        <f t="shared" si="15"/>
        <v>1772.8277164074705</v>
      </c>
      <c r="D337" s="44">
        <f t="shared" si="16"/>
        <v>313.5609084744483</v>
      </c>
      <c r="E337" s="44"/>
      <c r="F337" s="44"/>
      <c r="G337" s="44"/>
      <c r="H337" s="45">
        <f t="shared" si="17"/>
        <v>28</v>
      </c>
      <c r="I337" s="40"/>
    </row>
    <row r="338" spans="1:9" ht="12" customHeight="1">
      <c r="A338" s="43">
        <v>334</v>
      </c>
      <c r="B338" s="43"/>
      <c r="C338" s="44">
        <f t="shared" si="15"/>
        <v>1783.169211419847</v>
      </c>
      <c r="D338" s="44">
        <f t="shared" si="16"/>
        <v>303.21941346207132</v>
      </c>
      <c r="E338" s="44"/>
      <c r="F338" s="44"/>
      <c r="G338" s="44"/>
      <c r="H338" s="45">
        <f t="shared" si="17"/>
        <v>28</v>
      </c>
      <c r="I338" s="40"/>
    </row>
    <row r="339" spans="1:9" ht="12" customHeight="1">
      <c r="A339" s="43">
        <v>335</v>
      </c>
      <c r="B339" s="43"/>
      <c r="C339" s="44">
        <f t="shared" si="15"/>
        <v>1793.571031819796</v>
      </c>
      <c r="D339" s="44">
        <f t="shared" si="16"/>
        <v>292.81759306212228</v>
      </c>
      <c r="E339" s="44"/>
      <c r="F339" s="44"/>
      <c r="G339" s="44"/>
      <c r="H339" s="45">
        <f t="shared" si="17"/>
        <v>28</v>
      </c>
      <c r="I339" s="40"/>
    </row>
    <row r="340" spans="1:9" s="56" customFormat="1" ht="12" customHeight="1">
      <c r="A340" s="46">
        <v>336</v>
      </c>
      <c r="B340" s="46"/>
      <c r="C340" s="47">
        <f t="shared" si="15"/>
        <v>1804.0335295054119</v>
      </c>
      <c r="D340" s="47">
        <f t="shared" si="16"/>
        <v>282.35509537650682</v>
      </c>
      <c r="E340" s="47">
        <f>C1-SUM(C4:C340)</f>
        <v>46599.697106467152</v>
      </c>
      <c r="F340" s="47">
        <f>SUM(C5:C340)</f>
        <v>267000.30289353285</v>
      </c>
      <c r="G340" s="47">
        <f>SUM(C329:C340)</f>
        <v>20971.053925562715</v>
      </c>
      <c r="H340" s="48">
        <f t="shared" si="17"/>
        <v>28</v>
      </c>
      <c r="I340" s="55"/>
    </row>
    <row r="341" spans="1:9" ht="12" customHeight="1">
      <c r="A341" s="49">
        <v>337</v>
      </c>
      <c r="B341" s="49"/>
      <c r="C341" s="50">
        <f t="shared" si="15"/>
        <v>1814.5570584275267</v>
      </c>
      <c r="D341" s="50">
        <f t="shared" si="16"/>
        <v>271.83156645439192</v>
      </c>
      <c r="E341" s="50"/>
      <c r="F341" s="50"/>
      <c r="G341" s="50"/>
      <c r="H341" s="51">
        <f t="shared" si="17"/>
        <v>29</v>
      </c>
      <c r="I341" s="40"/>
    </row>
    <row r="342" spans="1:9" ht="12" customHeight="1">
      <c r="A342" s="49">
        <v>338</v>
      </c>
      <c r="B342" s="49"/>
      <c r="C342" s="50">
        <f t="shared" si="15"/>
        <v>1825.1419746016873</v>
      </c>
      <c r="D342" s="50">
        <f t="shared" si="16"/>
        <v>261.24665028023128</v>
      </c>
      <c r="E342" s="50"/>
      <c r="F342" s="50"/>
      <c r="G342" s="50"/>
      <c r="H342" s="51">
        <f t="shared" si="17"/>
        <v>29</v>
      </c>
      <c r="I342" s="40"/>
    </row>
    <row r="343" spans="1:9" ht="12" customHeight="1">
      <c r="A343" s="49">
        <v>339</v>
      </c>
      <c r="B343" s="49"/>
      <c r="C343" s="50">
        <f t="shared" si="15"/>
        <v>1835.7886361201972</v>
      </c>
      <c r="D343" s="50">
        <f t="shared" si="16"/>
        <v>250.59998876172142</v>
      </c>
      <c r="E343" s="50"/>
      <c r="F343" s="50"/>
      <c r="G343" s="50"/>
      <c r="H343" s="51">
        <f t="shared" si="17"/>
        <v>29</v>
      </c>
      <c r="I343" s="40"/>
    </row>
    <row r="344" spans="1:9" ht="12" customHeight="1">
      <c r="A344" s="49">
        <v>340</v>
      </c>
      <c r="B344" s="49"/>
      <c r="C344" s="50">
        <f t="shared" si="15"/>
        <v>1846.4974031642316</v>
      </c>
      <c r="D344" s="50">
        <f t="shared" si="16"/>
        <v>239.89122171768699</v>
      </c>
      <c r="E344" s="50"/>
      <c r="F344" s="50"/>
      <c r="G344" s="50"/>
      <c r="H344" s="51">
        <f t="shared" si="17"/>
        <v>29</v>
      </c>
      <c r="I344" s="40"/>
    </row>
    <row r="345" spans="1:9" ht="12" customHeight="1">
      <c r="A345" s="49">
        <v>341</v>
      </c>
      <c r="B345" s="49"/>
      <c r="C345" s="50">
        <f t="shared" si="15"/>
        <v>1857.268638016023</v>
      </c>
      <c r="D345" s="50">
        <f t="shared" si="16"/>
        <v>229.11998686589561</v>
      </c>
      <c r="E345" s="50"/>
      <c r="F345" s="50"/>
      <c r="G345" s="50"/>
      <c r="H345" s="51">
        <f t="shared" si="17"/>
        <v>29</v>
      </c>
      <c r="I345" s="40"/>
    </row>
    <row r="346" spans="1:9" ht="12" customHeight="1">
      <c r="A346" s="49">
        <v>342</v>
      </c>
      <c r="B346" s="49"/>
      <c r="C346" s="50">
        <f t="shared" si="15"/>
        <v>1868.1027050711164</v>
      </c>
      <c r="D346" s="50">
        <f t="shared" si="16"/>
        <v>218.28591981080214</v>
      </c>
      <c r="E346" s="50"/>
      <c r="F346" s="50"/>
      <c r="G346" s="50"/>
      <c r="H346" s="51">
        <f t="shared" si="17"/>
        <v>29</v>
      </c>
      <c r="I346" s="40"/>
    </row>
    <row r="347" spans="1:9" ht="12" customHeight="1">
      <c r="A347" s="49">
        <v>343</v>
      </c>
      <c r="B347" s="49"/>
      <c r="C347" s="50">
        <f t="shared" si="15"/>
        <v>1878.9999708506978</v>
      </c>
      <c r="D347" s="50">
        <f t="shared" si="16"/>
        <v>207.38865403122065</v>
      </c>
      <c r="E347" s="50"/>
      <c r="F347" s="50"/>
      <c r="G347" s="50"/>
      <c r="H347" s="51">
        <f t="shared" si="17"/>
        <v>29</v>
      </c>
      <c r="I347" s="40"/>
    </row>
    <row r="348" spans="1:9" ht="12" customHeight="1">
      <c r="A348" s="49">
        <v>344</v>
      </c>
      <c r="B348" s="49"/>
      <c r="C348" s="50">
        <f t="shared" si="15"/>
        <v>1889.9608040139938</v>
      </c>
      <c r="D348" s="50">
        <f t="shared" si="16"/>
        <v>196.42782086792494</v>
      </c>
      <c r="E348" s="50"/>
      <c r="F348" s="50"/>
      <c r="G348" s="50"/>
      <c r="H348" s="51">
        <f t="shared" si="17"/>
        <v>29</v>
      </c>
      <c r="I348" s="40"/>
    </row>
    <row r="349" spans="1:9" ht="12" customHeight="1">
      <c r="A349" s="49">
        <v>345</v>
      </c>
      <c r="B349" s="49"/>
      <c r="C349" s="50">
        <f t="shared" si="15"/>
        <v>1900.985575370742</v>
      </c>
      <c r="D349" s="50">
        <f t="shared" si="16"/>
        <v>185.40304951117662</v>
      </c>
      <c r="E349" s="50"/>
      <c r="F349" s="50"/>
      <c r="G349" s="50"/>
      <c r="H349" s="51">
        <f t="shared" si="17"/>
        <v>29</v>
      </c>
      <c r="I349" s="40"/>
    </row>
    <row r="350" spans="1:9" ht="12" customHeight="1">
      <c r="A350" s="49">
        <v>346</v>
      </c>
      <c r="B350" s="49"/>
      <c r="C350" s="50">
        <f t="shared" si="15"/>
        <v>1912.0746578937378</v>
      </c>
      <c r="D350" s="50">
        <f t="shared" si="16"/>
        <v>174.31396698818062</v>
      </c>
      <c r="E350" s="50"/>
      <c r="F350" s="50"/>
      <c r="G350" s="50"/>
      <c r="H350" s="51">
        <f t="shared" si="17"/>
        <v>29</v>
      </c>
      <c r="I350" s="40"/>
    </row>
    <row r="351" spans="1:9" ht="12" customHeight="1">
      <c r="A351" s="49">
        <v>347</v>
      </c>
      <c r="B351" s="49"/>
      <c r="C351" s="50">
        <f t="shared" si="15"/>
        <v>1923.2284267314515</v>
      </c>
      <c r="D351" s="50">
        <f t="shared" si="16"/>
        <v>163.16019815046715</v>
      </c>
      <c r="E351" s="50"/>
      <c r="F351" s="50"/>
      <c r="G351" s="50"/>
      <c r="H351" s="51">
        <f t="shared" si="17"/>
        <v>29</v>
      </c>
      <c r="I351" s="40"/>
    </row>
    <row r="352" spans="1:9" s="56" customFormat="1" ht="12" customHeight="1">
      <c r="A352" s="46">
        <v>348</v>
      </c>
      <c r="B352" s="46"/>
      <c r="C352" s="47">
        <f t="shared" si="15"/>
        <v>1934.447259220718</v>
      </c>
      <c r="D352" s="47">
        <f t="shared" si="16"/>
        <v>151.94136566120036</v>
      </c>
      <c r="E352" s="47">
        <f>C1-SUM(C4:C352)</f>
        <v>24112.643996985105</v>
      </c>
      <c r="F352" s="47">
        <f>SUM(C5:C352)</f>
        <v>289487.35600301489</v>
      </c>
      <c r="G352" s="47">
        <f>SUM(C341:C352)</f>
        <v>22487.053109482124</v>
      </c>
      <c r="H352" s="48">
        <f t="shared" si="17"/>
        <v>29</v>
      </c>
      <c r="I352" s="55"/>
    </row>
    <row r="353" spans="1:9" ht="12" customHeight="1">
      <c r="A353" s="43">
        <v>349</v>
      </c>
      <c r="B353" s="43"/>
      <c r="C353" s="44">
        <f t="shared" si="15"/>
        <v>1945.7315348995057</v>
      </c>
      <c r="D353" s="44">
        <f t="shared" si="16"/>
        <v>140.65708998241283</v>
      </c>
      <c r="E353" s="44"/>
      <c r="F353" s="44"/>
      <c r="G353" s="44"/>
      <c r="H353" s="45">
        <f t="shared" si="17"/>
        <v>30</v>
      </c>
      <c r="I353" s="40"/>
    </row>
    <row r="354" spans="1:9" ht="12" customHeight="1">
      <c r="A354" s="43">
        <v>350</v>
      </c>
      <c r="B354" s="43"/>
      <c r="C354" s="44">
        <f t="shared" si="15"/>
        <v>1957.0816355197528</v>
      </c>
      <c r="D354" s="44">
        <f t="shared" si="16"/>
        <v>129.30698936216569</v>
      </c>
      <c r="E354" s="44"/>
      <c r="F354" s="44"/>
      <c r="G354" s="44"/>
      <c r="H354" s="45">
        <f t="shared" si="17"/>
        <v>30</v>
      </c>
      <c r="I354" s="40"/>
    </row>
    <row r="355" spans="1:9" ht="12" customHeight="1">
      <c r="A355" s="43">
        <v>351</v>
      </c>
      <c r="B355" s="43"/>
      <c r="C355" s="44">
        <f t="shared" si="15"/>
        <v>1968.4979450602848</v>
      </c>
      <c r="D355" s="44">
        <f t="shared" si="16"/>
        <v>117.89067982163381</v>
      </c>
      <c r="E355" s="44"/>
      <c r="F355" s="44"/>
      <c r="G355" s="44"/>
      <c r="H355" s="45">
        <f t="shared" si="17"/>
        <v>30</v>
      </c>
      <c r="I355" s="40"/>
    </row>
    <row r="356" spans="1:9" ht="12" customHeight="1">
      <c r="A356" s="43">
        <v>352</v>
      </c>
      <c r="B356" s="43"/>
      <c r="C356" s="44">
        <f t="shared" si="15"/>
        <v>1979.9808497398033</v>
      </c>
      <c r="D356" s="44">
        <f t="shared" si="16"/>
        <v>106.40777514211548</v>
      </c>
      <c r="E356" s="44"/>
      <c r="F356" s="44"/>
      <c r="G356" s="44"/>
      <c r="H356" s="45">
        <f t="shared" si="17"/>
        <v>30</v>
      </c>
      <c r="I356" s="40"/>
    </row>
    <row r="357" spans="1:9" ht="12" customHeight="1">
      <c r="A357" s="43">
        <v>353</v>
      </c>
      <c r="B357" s="43"/>
      <c r="C357" s="44">
        <f t="shared" si="15"/>
        <v>1991.5307380299516</v>
      </c>
      <c r="D357" s="44">
        <f t="shared" si="16"/>
        <v>94.857886851966626</v>
      </c>
      <c r="E357" s="44"/>
      <c r="F357" s="44"/>
      <c r="G357" s="44"/>
      <c r="H357" s="45">
        <f t="shared" si="17"/>
        <v>30</v>
      </c>
      <c r="I357" s="40"/>
    </row>
    <row r="358" spans="1:9" ht="12" customHeight="1">
      <c r="A358" s="43">
        <v>354</v>
      </c>
      <c r="B358" s="43"/>
      <c r="C358" s="44">
        <f t="shared" si="15"/>
        <v>2003.1480006684599</v>
      </c>
      <c r="D358" s="44">
        <f t="shared" si="16"/>
        <v>83.24062421345856</v>
      </c>
      <c r="E358" s="44"/>
      <c r="F358" s="44"/>
      <c r="G358" s="44"/>
      <c r="H358" s="45">
        <f t="shared" si="17"/>
        <v>30</v>
      </c>
      <c r="I358" s="40"/>
    </row>
    <row r="359" spans="1:9" ht="12" customHeight="1">
      <c r="A359" s="43">
        <v>355</v>
      </c>
      <c r="B359" s="43"/>
      <c r="C359" s="44">
        <f t="shared" si="15"/>
        <v>2014.8330306723592</v>
      </c>
      <c r="D359" s="44">
        <f t="shared" si="16"/>
        <v>71.555594209559231</v>
      </c>
      <c r="E359" s="44"/>
      <c r="F359" s="44"/>
      <c r="G359" s="44"/>
      <c r="H359" s="45">
        <f t="shared" si="17"/>
        <v>30</v>
      </c>
      <c r="I359" s="40"/>
    </row>
    <row r="360" spans="1:9" ht="12" customHeight="1">
      <c r="A360" s="43">
        <v>356</v>
      </c>
      <c r="B360" s="43"/>
      <c r="C360" s="44">
        <f t="shared" si="15"/>
        <v>2026.5862233512814</v>
      </c>
      <c r="D360" s="44">
        <f t="shared" si="16"/>
        <v>59.802401530637113</v>
      </c>
      <c r="E360" s="44"/>
      <c r="F360" s="44"/>
      <c r="G360" s="44"/>
      <c r="H360" s="45">
        <f t="shared" si="17"/>
        <v>30</v>
      </c>
      <c r="I360" s="40"/>
    </row>
    <row r="361" spans="1:9" ht="12" customHeight="1">
      <c r="A361" s="43">
        <v>357</v>
      </c>
      <c r="B361" s="43"/>
      <c r="C361" s="44">
        <f t="shared" si="15"/>
        <v>2038.4079763208308</v>
      </c>
      <c r="D361" s="44">
        <f t="shared" si="16"/>
        <v>47.980648561087982</v>
      </c>
      <c r="E361" s="44"/>
      <c r="F361" s="44"/>
      <c r="G361" s="44"/>
      <c r="H361" s="45">
        <f t="shared" si="17"/>
        <v>30</v>
      </c>
      <c r="I361" s="40"/>
    </row>
    <row r="362" spans="1:9" ht="12" customHeight="1">
      <c r="A362" s="43">
        <v>358</v>
      </c>
      <c r="B362" s="43"/>
      <c r="C362" s="44">
        <f t="shared" si="15"/>
        <v>2050.2986895160357</v>
      </c>
      <c r="D362" s="44">
        <f t="shared" si="16"/>
        <v>36.089935365883129</v>
      </c>
      <c r="E362" s="44"/>
      <c r="F362" s="44"/>
      <c r="G362" s="44"/>
      <c r="H362" s="45">
        <f t="shared" si="17"/>
        <v>30</v>
      </c>
      <c r="I362" s="40"/>
    </row>
    <row r="363" spans="1:9" ht="12" customHeight="1">
      <c r="A363" s="43">
        <v>359</v>
      </c>
      <c r="B363" s="43"/>
      <c r="C363" s="44">
        <f t="shared" si="15"/>
        <v>2062.2587652048792</v>
      </c>
      <c r="D363" s="44">
        <f t="shared" si="16"/>
        <v>24.12985967703959</v>
      </c>
      <c r="E363" s="44"/>
      <c r="F363" s="44"/>
      <c r="G363" s="44"/>
      <c r="H363" s="45">
        <f t="shared" si="17"/>
        <v>30</v>
      </c>
      <c r="I363" s="40"/>
    </row>
    <row r="364" spans="1:9" ht="12" customHeight="1">
      <c r="A364" s="46">
        <v>360</v>
      </c>
      <c r="B364" s="46"/>
      <c r="C364" s="47">
        <f t="shared" si="15"/>
        <v>2074.2886080019075</v>
      </c>
      <c r="D364" s="47">
        <f t="shared" si="16"/>
        <v>12.100016880011131</v>
      </c>
      <c r="E364" s="47">
        <f>C1-SUM(C5:C364)</f>
        <v>0</v>
      </c>
      <c r="F364" s="47">
        <f>SUM(C5:C364)</f>
        <v>313599.99999999994</v>
      </c>
      <c r="G364" s="47">
        <f>SUM(C353:C364)</f>
        <v>24112.643996985054</v>
      </c>
      <c r="H364" s="48">
        <f t="shared" si="17"/>
        <v>30</v>
      </c>
      <c r="I364" s="40"/>
    </row>
  </sheetData>
  <sheetProtection sheet="1"/>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5</vt:i4>
      </vt:variant>
      <vt:variant>
        <vt:lpstr>Charts</vt:lpstr>
      </vt:variant>
      <vt:variant>
        <vt:i4>1</vt:i4>
      </vt:variant>
      <vt:variant>
        <vt:lpstr>Named Ranges</vt:lpstr>
      </vt:variant>
      <vt:variant>
        <vt:i4>1</vt:i4>
      </vt:variant>
    </vt:vector>
  </HeadingPairs>
  <TitlesOfParts>
    <vt:vector size="7" baseType="lpstr">
      <vt:lpstr>Analysis Worksheet</vt:lpstr>
      <vt:lpstr>ROI Analysis</vt:lpstr>
      <vt:lpstr>Loan Amortization</vt:lpstr>
      <vt:lpstr>Loan Amortization 2nd Loan</vt:lpstr>
      <vt:lpstr>Interest Calculations</vt:lpstr>
      <vt:lpstr>Chart2</vt:lpstr>
      <vt:lpstr>'Analysis Worksheet'!Print_Area</vt:lpstr>
    </vt:vector>
  </TitlesOfParts>
  <Manager/>
  <Company>Keller Williams Realty, Intl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Jay</dc:creator>
  <cp:keywords/>
  <dc:description/>
  <cp:lastModifiedBy>Steve Chader</cp:lastModifiedBy>
  <cp:revision/>
  <cp:lastPrinted>2024-04-08T19:23:59Z</cp:lastPrinted>
  <dcterms:created xsi:type="dcterms:W3CDTF">2004-12-01T02:04:04Z</dcterms:created>
  <dcterms:modified xsi:type="dcterms:W3CDTF">2025-03-19T22:22:53Z</dcterms:modified>
  <cp:category/>
  <cp:contentStatus/>
</cp:coreProperties>
</file>